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255" windowHeight="8415"/>
  </bookViews>
  <sheets>
    <sheet name="Instructions" sheetId="5" r:id="rId1"/>
    <sheet name="Sheet1" sheetId="1" r:id="rId2"/>
    <sheet name="As Of March 2011" sheetId="2" r:id="rId3"/>
    <sheet name="As Of July 2011" sheetId="3" r:id="rId4"/>
    <sheet name="As Of November 2011" sheetId="4" r:id="rId5"/>
  </sheets>
  <calcPr calcId="125725"/>
</workbook>
</file>

<file path=xl/calcChain.xml><?xml version="1.0" encoding="utf-8"?>
<calcChain xmlns="http://schemas.openxmlformats.org/spreadsheetml/2006/main">
  <c r="C11" i="4"/>
  <c r="A39"/>
  <c r="A38"/>
  <c r="C13"/>
  <c r="C12"/>
  <c r="C3"/>
  <c r="C14" s="1"/>
  <c r="C11" i="3"/>
  <c r="D26" s="1"/>
  <c r="A37"/>
  <c r="A36"/>
  <c r="C13"/>
  <c r="C12"/>
  <c r="C3"/>
  <c r="C14" s="1"/>
  <c r="C15" i="2"/>
  <c r="C13"/>
  <c r="C16"/>
  <c r="C12"/>
  <c r="A39"/>
  <c r="A38"/>
  <c r="C11"/>
  <c r="C3"/>
  <c r="C14" s="1"/>
  <c r="C3" i="1"/>
  <c r="C9" s="1"/>
  <c r="C7"/>
  <c r="A21"/>
  <c r="C8"/>
  <c r="C15" i="4" l="1"/>
  <c r="A25"/>
  <c r="E25"/>
  <c r="K25"/>
  <c r="A26"/>
  <c r="E26"/>
  <c r="K26"/>
  <c r="A27"/>
  <c r="E27"/>
  <c r="K27"/>
  <c r="A28"/>
  <c r="D28"/>
  <c r="J28"/>
  <c r="J29"/>
  <c r="G30"/>
  <c r="K30"/>
  <c r="A31"/>
  <c r="G31"/>
  <c r="K31"/>
  <c r="A32"/>
  <c r="H32"/>
  <c r="J32"/>
  <c r="J33"/>
  <c r="K34"/>
  <c r="A35"/>
  <c r="K35"/>
  <c r="A36"/>
  <c r="L36"/>
  <c r="D38"/>
  <c r="J38"/>
  <c r="C39"/>
  <c r="E39"/>
  <c r="G39"/>
  <c r="I39"/>
  <c r="K39"/>
  <c r="M39"/>
  <c r="D40"/>
  <c r="J40"/>
  <c r="D25"/>
  <c r="J25"/>
  <c r="D26"/>
  <c r="J26"/>
  <c r="D27"/>
  <c r="J27"/>
  <c r="E28"/>
  <c r="K28"/>
  <c r="A29"/>
  <c r="E29"/>
  <c r="G29"/>
  <c r="G28" s="1"/>
  <c r="G27" s="1"/>
  <c r="G26" s="1"/>
  <c r="G25" s="1"/>
  <c r="G38" s="1"/>
  <c r="G40" s="1"/>
  <c r="K29"/>
  <c r="A30"/>
  <c r="F30"/>
  <c r="F29" s="1"/>
  <c r="F28" s="1"/>
  <c r="F27" s="1"/>
  <c r="F26" s="1"/>
  <c r="F25" s="1"/>
  <c r="F38" s="1"/>
  <c r="J30"/>
  <c r="H31"/>
  <c r="J31"/>
  <c r="I32"/>
  <c r="I31" s="1"/>
  <c r="I30" s="1"/>
  <c r="I29" s="1"/>
  <c r="I28" s="1"/>
  <c r="I27" s="1"/>
  <c r="I26" s="1"/>
  <c r="I25" s="1"/>
  <c r="I38" s="1"/>
  <c r="I40" s="1"/>
  <c r="K32"/>
  <c r="A33"/>
  <c r="I33"/>
  <c r="K33"/>
  <c r="A34"/>
  <c r="J34"/>
  <c r="L35"/>
  <c r="L34" s="1"/>
  <c r="L33" s="1"/>
  <c r="L32" s="1"/>
  <c r="L31" s="1"/>
  <c r="L30" s="1"/>
  <c r="L29" s="1"/>
  <c r="L28" s="1"/>
  <c r="L27" s="1"/>
  <c r="L26" s="1"/>
  <c r="L25" s="1"/>
  <c r="L38" s="1"/>
  <c r="A37"/>
  <c r="M37"/>
  <c r="N37" s="1"/>
  <c r="E38"/>
  <c r="K38"/>
  <c r="D39"/>
  <c r="F39"/>
  <c r="F40" s="1"/>
  <c r="H39"/>
  <c r="J39"/>
  <c r="L39"/>
  <c r="E40"/>
  <c r="K40"/>
  <c r="C15" i="3"/>
  <c r="J23"/>
  <c r="A24"/>
  <c r="I24"/>
  <c r="J25"/>
  <c r="A26"/>
  <c r="D25"/>
  <c r="D24" s="1"/>
  <c r="D23" s="1"/>
  <c r="J26"/>
  <c r="A27"/>
  <c r="E27"/>
  <c r="I27"/>
  <c r="I28"/>
  <c r="J29"/>
  <c r="A30"/>
  <c r="H30"/>
  <c r="H29" s="1"/>
  <c r="H28" s="1"/>
  <c r="H27" s="1"/>
  <c r="H26" s="1"/>
  <c r="H25" s="1"/>
  <c r="H24" s="1"/>
  <c r="H23" s="1"/>
  <c r="H36" s="1"/>
  <c r="J30"/>
  <c r="A31"/>
  <c r="I31"/>
  <c r="A34"/>
  <c r="L34"/>
  <c r="L33" s="1"/>
  <c r="L32" s="1"/>
  <c r="L31" s="1"/>
  <c r="L30" s="1"/>
  <c r="L29" s="1"/>
  <c r="L28" s="1"/>
  <c r="L27" s="1"/>
  <c r="L26" s="1"/>
  <c r="L25" s="1"/>
  <c r="L24" s="1"/>
  <c r="L23" s="1"/>
  <c r="L36" s="1"/>
  <c r="A35"/>
  <c r="M35"/>
  <c r="N35" s="1"/>
  <c r="J36"/>
  <c r="C37"/>
  <c r="E37"/>
  <c r="G37"/>
  <c r="I37"/>
  <c r="K37"/>
  <c r="M37"/>
  <c r="I38"/>
  <c r="A23"/>
  <c r="I23"/>
  <c r="J24"/>
  <c r="A25"/>
  <c r="I25"/>
  <c r="I26"/>
  <c r="J27"/>
  <c r="A28"/>
  <c r="F28"/>
  <c r="F27" s="1"/>
  <c r="F26" s="1"/>
  <c r="F25" s="1"/>
  <c r="F24" s="1"/>
  <c r="F23" s="1"/>
  <c r="F36" s="1"/>
  <c r="J28"/>
  <c r="A29"/>
  <c r="G29"/>
  <c r="G28" s="1"/>
  <c r="G27" s="1"/>
  <c r="G26" s="1"/>
  <c r="G25" s="1"/>
  <c r="G24" s="1"/>
  <c r="G23" s="1"/>
  <c r="G36" s="1"/>
  <c r="G38" s="1"/>
  <c r="I29"/>
  <c r="I30"/>
  <c r="J31"/>
  <c r="A32"/>
  <c r="J32"/>
  <c r="A33"/>
  <c r="K33"/>
  <c r="K32" s="1"/>
  <c r="K31" s="1"/>
  <c r="K30" s="1"/>
  <c r="K29" s="1"/>
  <c r="K28" s="1"/>
  <c r="K27" s="1"/>
  <c r="K26" s="1"/>
  <c r="K25" s="1"/>
  <c r="K24" s="1"/>
  <c r="K23" s="1"/>
  <c r="K36" s="1"/>
  <c r="K38" s="1"/>
  <c r="M34"/>
  <c r="M33" s="1"/>
  <c r="M32" s="1"/>
  <c r="M31" s="1"/>
  <c r="M30" s="1"/>
  <c r="M29" s="1"/>
  <c r="M28" s="1"/>
  <c r="M27" s="1"/>
  <c r="M26" s="1"/>
  <c r="M25" s="1"/>
  <c r="M24" s="1"/>
  <c r="M23" s="1"/>
  <c r="M36" s="1"/>
  <c r="M38" s="1"/>
  <c r="I36"/>
  <c r="F37"/>
  <c r="H37"/>
  <c r="J37"/>
  <c r="L37"/>
  <c r="J38"/>
  <c r="A28" i="2"/>
  <c r="A32"/>
  <c r="A36"/>
  <c r="A26"/>
  <c r="A30"/>
  <c r="A34"/>
  <c r="A37"/>
  <c r="A25"/>
  <c r="A27"/>
  <c r="A29"/>
  <c r="A31"/>
  <c r="A33"/>
  <c r="A35"/>
  <c r="C17"/>
  <c r="J25"/>
  <c r="J26"/>
  <c r="J27"/>
  <c r="E28"/>
  <c r="I28"/>
  <c r="E29"/>
  <c r="I29"/>
  <c r="F30"/>
  <c r="J30"/>
  <c r="J31"/>
  <c r="I32"/>
  <c r="I33"/>
  <c r="J34"/>
  <c r="K35"/>
  <c r="J38"/>
  <c r="D39"/>
  <c r="F39"/>
  <c r="H39"/>
  <c r="J39"/>
  <c r="L39"/>
  <c r="E40"/>
  <c r="I40"/>
  <c r="E25"/>
  <c r="I25"/>
  <c r="E26"/>
  <c r="I26"/>
  <c r="E27"/>
  <c r="I27"/>
  <c r="D28"/>
  <c r="D27" s="1"/>
  <c r="D26" s="1"/>
  <c r="D25" s="1"/>
  <c r="D38" s="1"/>
  <c r="J28"/>
  <c r="F29"/>
  <c r="F28" s="1"/>
  <c r="F27" s="1"/>
  <c r="F26" s="1"/>
  <c r="F25" s="1"/>
  <c r="F38" s="1"/>
  <c r="F40" s="1"/>
  <c r="J29"/>
  <c r="I30"/>
  <c r="G31"/>
  <c r="I31"/>
  <c r="H32"/>
  <c r="J32"/>
  <c r="J33"/>
  <c r="L35"/>
  <c r="L34" s="1"/>
  <c r="L33" s="1"/>
  <c r="L32" s="1"/>
  <c r="L31" s="1"/>
  <c r="L30" s="1"/>
  <c r="L29" s="1"/>
  <c r="L28" s="1"/>
  <c r="L27" s="1"/>
  <c r="L26" s="1"/>
  <c r="L25" s="1"/>
  <c r="L38" s="1"/>
  <c r="L36"/>
  <c r="M37"/>
  <c r="E38"/>
  <c r="I38"/>
  <c r="C39"/>
  <c r="E39"/>
  <c r="I39"/>
  <c r="M39"/>
  <c r="J40"/>
  <c r="L29" i="1"/>
  <c r="K28"/>
  <c r="M30"/>
  <c r="J27"/>
  <c r="I26"/>
  <c r="H25"/>
  <c r="G24"/>
  <c r="E22"/>
  <c r="F23"/>
  <c r="D21"/>
  <c r="A32"/>
  <c r="A27"/>
  <c r="A25"/>
  <c r="A24"/>
  <c r="A22"/>
  <c r="A20"/>
  <c r="A31"/>
  <c r="A26"/>
  <c r="A23"/>
  <c r="A18"/>
  <c r="A19"/>
  <c r="C10"/>
  <c r="H24" s="1"/>
  <c r="L40" i="4" l="1"/>
  <c r="C17"/>
  <c r="C27"/>
  <c r="C25"/>
  <c r="C38" s="1"/>
  <c r="C40" s="1"/>
  <c r="C26"/>
  <c r="H30"/>
  <c r="H29" s="1"/>
  <c r="H28" s="1"/>
  <c r="H27" s="1"/>
  <c r="H26" s="1"/>
  <c r="H25" s="1"/>
  <c r="H38" s="1"/>
  <c r="H40" s="1"/>
  <c r="M36"/>
  <c r="M35" s="1"/>
  <c r="M34" s="1"/>
  <c r="M33" s="1"/>
  <c r="M32" s="1"/>
  <c r="M31" s="1"/>
  <c r="M30" s="1"/>
  <c r="M29" s="1"/>
  <c r="M28" s="1"/>
  <c r="M27" s="1"/>
  <c r="M26" s="1"/>
  <c r="M25" s="1"/>
  <c r="M38" s="1"/>
  <c r="M40" s="1"/>
  <c r="O39"/>
  <c r="B39"/>
  <c r="O37"/>
  <c r="P37" s="1"/>
  <c r="B37"/>
  <c r="N36"/>
  <c r="O37" i="3"/>
  <c r="C25"/>
  <c r="C23"/>
  <c r="C24"/>
  <c r="D37"/>
  <c r="E26"/>
  <c r="E25" s="1"/>
  <c r="E24" s="1"/>
  <c r="E23" s="1"/>
  <c r="E36" s="1"/>
  <c r="E38" s="1"/>
  <c r="L38"/>
  <c r="H38"/>
  <c r="F38"/>
  <c r="C17"/>
  <c r="N32"/>
  <c r="B32" s="1"/>
  <c r="B37"/>
  <c r="N33"/>
  <c r="N28"/>
  <c r="N31"/>
  <c r="N30"/>
  <c r="B35"/>
  <c r="O35"/>
  <c r="P35" s="1"/>
  <c r="N29"/>
  <c r="N34"/>
  <c r="N27"/>
  <c r="K39" i="2"/>
  <c r="K34"/>
  <c r="K33" s="1"/>
  <c r="K32" s="1"/>
  <c r="K31" s="1"/>
  <c r="K30" s="1"/>
  <c r="K29" s="1"/>
  <c r="K28" s="1"/>
  <c r="K27" s="1"/>
  <c r="K26" s="1"/>
  <c r="K25" s="1"/>
  <c r="K38" s="1"/>
  <c r="L40"/>
  <c r="C26"/>
  <c r="C27"/>
  <c r="C25"/>
  <c r="C38" s="1"/>
  <c r="C40" s="1"/>
  <c r="D40"/>
  <c r="M36"/>
  <c r="M35" s="1"/>
  <c r="M34" s="1"/>
  <c r="M33" s="1"/>
  <c r="M32" s="1"/>
  <c r="M31" s="1"/>
  <c r="M30" s="1"/>
  <c r="M29" s="1"/>
  <c r="M28" s="1"/>
  <c r="M27" s="1"/>
  <c r="M26" s="1"/>
  <c r="M25" s="1"/>
  <c r="M38" s="1"/>
  <c r="N37"/>
  <c r="H31"/>
  <c r="H30" s="1"/>
  <c r="H29" s="1"/>
  <c r="H28" s="1"/>
  <c r="H27" s="1"/>
  <c r="H26" s="1"/>
  <c r="H25" s="1"/>
  <c r="H38" s="1"/>
  <c r="H40" s="1"/>
  <c r="G30"/>
  <c r="G29" s="1"/>
  <c r="G28" s="1"/>
  <c r="G27" s="1"/>
  <c r="G26" s="1"/>
  <c r="G25" s="1"/>
  <c r="G38" s="1"/>
  <c r="C20"/>
  <c r="B39"/>
  <c r="M40"/>
  <c r="G39"/>
  <c r="D20" i="1"/>
  <c r="D19" s="1"/>
  <c r="D18" s="1"/>
  <c r="G23"/>
  <c r="G22" s="1"/>
  <c r="G21" s="1"/>
  <c r="G20" s="1"/>
  <c r="G19" s="1"/>
  <c r="G18" s="1"/>
  <c r="G31" s="1"/>
  <c r="M29"/>
  <c r="M28" s="1"/>
  <c r="M27" s="1"/>
  <c r="M26" s="1"/>
  <c r="M25" s="1"/>
  <c r="M24" s="1"/>
  <c r="M23" s="1"/>
  <c r="M22" s="1"/>
  <c r="M21" s="1"/>
  <c r="M20" s="1"/>
  <c r="M19" s="1"/>
  <c r="F22"/>
  <c r="F21" s="1"/>
  <c r="F20" s="1"/>
  <c r="F19" s="1"/>
  <c r="F18" s="1"/>
  <c r="F31" s="1"/>
  <c r="E21"/>
  <c r="E20" s="1"/>
  <c r="E19" s="1"/>
  <c r="E18" s="1"/>
  <c r="E31" s="1"/>
  <c r="L28"/>
  <c r="L27" s="1"/>
  <c r="L26" s="1"/>
  <c r="L25" s="1"/>
  <c r="L24" s="1"/>
  <c r="L23" s="1"/>
  <c r="L22" s="1"/>
  <c r="L21" s="1"/>
  <c r="L20" s="1"/>
  <c r="L19" s="1"/>
  <c r="L18" s="1"/>
  <c r="L31" s="1"/>
  <c r="K27"/>
  <c r="K26" s="1"/>
  <c r="K25" s="1"/>
  <c r="K24" s="1"/>
  <c r="K23" s="1"/>
  <c r="K22" s="1"/>
  <c r="K21" s="1"/>
  <c r="K20" s="1"/>
  <c r="K19" s="1"/>
  <c r="K18" s="1"/>
  <c r="K31" s="1"/>
  <c r="K33" s="1"/>
  <c r="J26"/>
  <c r="J25" s="1"/>
  <c r="J24" s="1"/>
  <c r="J23" s="1"/>
  <c r="J22" s="1"/>
  <c r="J21" s="1"/>
  <c r="J20" s="1"/>
  <c r="J19" s="1"/>
  <c r="J18" s="1"/>
  <c r="J31" s="1"/>
  <c r="I25"/>
  <c r="I24" s="1"/>
  <c r="I23" s="1"/>
  <c r="I22" s="1"/>
  <c r="I21" s="1"/>
  <c r="I20" s="1"/>
  <c r="I19" s="1"/>
  <c r="I18" s="1"/>
  <c r="K32"/>
  <c r="H23"/>
  <c r="H22" s="1"/>
  <c r="H21" s="1"/>
  <c r="H20" s="1"/>
  <c r="H19" s="1"/>
  <c r="H18" s="1"/>
  <c r="H31" s="1"/>
  <c r="J32"/>
  <c r="F32"/>
  <c r="G32"/>
  <c r="E32"/>
  <c r="I32"/>
  <c r="H32"/>
  <c r="L32"/>
  <c r="M32"/>
  <c r="D32"/>
  <c r="C32"/>
  <c r="C20"/>
  <c r="C18"/>
  <c r="C19"/>
  <c r="C13"/>
  <c r="N35" i="4" l="1"/>
  <c r="O35" s="1"/>
  <c r="P35" s="1"/>
  <c r="N28"/>
  <c r="N34"/>
  <c r="B34" s="1"/>
  <c r="N30"/>
  <c r="N27"/>
  <c r="O27" s="1"/>
  <c r="P27" s="1"/>
  <c r="N31"/>
  <c r="N33"/>
  <c r="O33" s="1"/>
  <c r="P33" s="1"/>
  <c r="N32"/>
  <c r="N29"/>
  <c r="O29" s="1"/>
  <c r="P29" s="1"/>
  <c r="N25"/>
  <c r="N26"/>
  <c r="O26" s="1"/>
  <c r="P26" s="1"/>
  <c r="B31"/>
  <c r="O31"/>
  <c r="P31" s="1"/>
  <c r="O32"/>
  <c r="P32" s="1"/>
  <c r="B32"/>
  <c r="B25"/>
  <c r="O28"/>
  <c r="P28" s="1"/>
  <c r="B28"/>
  <c r="O36"/>
  <c r="P36" s="1"/>
  <c r="B36"/>
  <c r="O34"/>
  <c r="P34" s="1"/>
  <c r="O30"/>
  <c r="P30" s="1"/>
  <c r="B30"/>
  <c r="B27"/>
  <c r="N26" i="3"/>
  <c r="B26" s="1"/>
  <c r="N25"/>
  <c r="O25" s="1"/>
  <c r="P25" s="1"/>
  <c r="O32"/>
  <c r="P32" s="1"/>
  <c r="B27"/>
  <c r="O27"/>
  <c r="P27" s="1"/>
  <c r="O29"/>
  <c r="P29" s="1"/>
  <c r="B29"/>
  <c r="B31"/>
  <c r="O31"/>
  <c r="P31" s="1"/>
  <c r="O33"/>
  <c r="P33" s="1"/>
  <c r="B33"/>
  <c r="C36"/>
  <c r="C38" s="1"/>
  <c r="O26"/>
  <c r="P26" s="1"/>
  <c r="O34"/>
  <c r="P34" s="1"/>
  <c r="B34"/>
  <c r="O30"/>
  <c r="P30" s="1"/>
  <c r="B30"/>
  <c r="O28"/>
  <c r="P28" s="1"/>
  <c r="B28"/>
  <c r="B25"/>
  <c r="K40" i="2"/>
  <c r="B37"/>
  <c r="O37"/>
  <c r="G40"/>
  <c r="N30"/>
  <c r="N34"/>
  <c r="N31"/>
  <c r="N29"/>
  <c r="N28"/>
  <c r="N27"/>
  <c r="N36"/>
  <c r="N33"/>
  <c r="N35"/>
  <c r="N32"/>
  <c r="N25"/>
  <c r="N26"/>
  <c r="M18" i="1"/>
  <c r="M31" s="1"/>
  <c r="M33" s="1"/>
  <c r="J33"/>
  <c r="F33"/>
  <c r="G33"/>
  <c r="E33"/>
  <c r="H33"/>
  <c r="L33"/>
  <c r="C31"/>
  <c r="C33" s="1"/>
  <c r="I31"/>
  <c r="I33" s="1"/>
  <c r="D31"/>
  <c r="D33" s="1"/>
  <c r="B35" i="4" l="1"/>
  <c r="B26"/>
  <c r="B29"/>
  <c r="B33"/>
  <c r="B38" s="1"/>
  <c r="B40" s="1"/>
  <c r="O25" s="1"/>
  <c r="B26" i="2"/>
  <c r="O26"/>
  <c r="B32"/>
  <c r="O32"/>
  <c r="B33"/>
  <c r="O33"/>
  <c r="B27"/>
  <c r="O27"/>
  <c r="B29"/>
  <c r="O29"/>
  <c r="B34"/>
  <c r="O34"/>
  <c r="B25"/>
  <c r="B35"/>
  <c r="O35"/>
  <c r="B36"/>
  <c r="O36"/>
  <c r="B28"/>
  <c r="O28"/>
  <c r="B31"/>
  <c r="O31"/>
  <c r="B30"/>
  <c r="O30"/>
  <c r="P25" i="4" l="1"/>
  <c r="P38" s="1"/>
  <c r="O38"/>
  <c r="O40" s="1"/>
  <c r="B38" i="2"/>
  <c r="B40" s="1"/>
  <c r="O25" s="1"/>
  <c r="N24" i="3"/>
  <c r="O24" l="1"/>
  <c r="P24" s="1"/>
  <c r="B24"/>
  <c r="N23" l="1"/>
  <c r="B23" s="1"/>
  <c r="B36" s="1"/>
  <c r="B38" s="1"/>
  <c r="O23" s="1"/>
  <c r="P23" s="1"/>
  <c r="P36" s="1"/>
  <c r="D36"/>
  <c r="D38" s="1"/>
  <c r="O36" l="1"/>
  <c r="O38" s="1"/>
</calcChain>
</file>

<file path=xl/sharedStrings.xml><?xml version="1.0" encoding="utf-8"?>
<sst xmlns="http://schemas.openxmlformats.org/spreadsheetml/2006/main" count="196" uniqueCount="119">
  <si>
    <t>Total Players</t>
  </si>
  <si>
    <t>Entrance Fee</t>
  </si>
  <si>
    <t>Winners Paid</t>
  </si>
  <si>
    <t>Total Pot</t>
  </si>
  <si>
    <t>Bounties</t>
  </si>
  <si>
    <t>Total Prize Pool</t>
  </si>
  <si>
    <t>Winnings Last Place</t>
  </si>
  <si>
    <t>% increase from</t>
  </si>
  <si>
    <t>1 place to the next</t>
  </si>
  <si>
    <t>Total Secret Bounties</t>
  </si>
  <si>
    <t>Secret Bounty $</t>
  </si>
  <si>
    <t>Bounty $</t>
  </si>
  <si>
    <t>1st Place</t>
  </si>
  <si>
    <t>2nd Place</t>
  </si>
  <si>
    <t>3rd Place</t>
  </si>
  <si>
    <t>4th Place</t>
  </si>
  <si>
    <t>5th Place</t>
  </si>
  <si>
    <t>6th Place</t>
  </si>
  <si>
    <t>7th Place</t>
  </si>
  <si>
    <t>8th Place</t>
  </si>
  <si>
    <t>9th Place</t>
  </si>
  <si>
    <t>10th Place</t>
  </si>
  <si>
    <t>11th Place</t>
  </si>
  <si>
    <t>11 - 17</t>
  </si>
  <si>
    <t>18 - 27</t>
  </si>
  <si>
    <t>28 - 36</t>
  </si>
  <si>
    <t>37 - 45</t>
  </si>
  <si>
    <t>46 - 54</t>
  </si>
  <si>
    <t>55 - 63</t>
  </si>
  <si>
    <t>64 - 72</t>
  </si>
  <si>
    <t>73 - 81</t>
  </si>
  <si>
    <t>82 - 90</t>
  </si>
  <si>
    <t>91 - 99</t>
  </si>
  <si>
    <t>9 - 10</t>
  </si>
  <si>
    <t>12th Place</t>
  </si>
  <si>
    <t>13th Place</t>
  </si>
  <si>
    <t>Total Collected</t>
  </si>
  <si>
    <t>House Fee per Player</t>
  </si>
  <si>
    <t>House Fee Total</t>
  </si>
  <si>
    <t>Cell C2*C4</t>
  </si>
  <si>
    <t>High Hand Total</t>
  </si>
  <si>
    <t>Cell C2*C6</t>
  </si>
  <si>
    <t>Bad Beat Jackpot $</t>
  </si>
  <si>
    <t>High Hand Jackpot $</t>
  </si>
  <si>
    <t>Bad Beat Jackpot Total</t>
  </si>
  <si>
    <t>Cell C2*C8</t>
  </si>
  <si>
    <t>Cell C2*C5</t>
  </si>
  <si>
    <t>Cell C2*C9</t>
  </si>
  <si>
    <t>81 - 90</t>
  </si>
  <si>
    <t>15</t>
  </si>
  <si>
    <t>16 -28</t>
  </si>
  <si>
    <t>29 - 43</t>
  </si>
  <si>
    <t>44 - 60</t>
  </si>
  <si>
    <t>61 - 70</t>
  </si>
  <si>
    <t>71 - 80</t>
  </si>
  <si>
    <t>91 - 100</t>
  </si>
  <si>
    <t>101 - 110</t>
  </si>
  <si>
    <t>111 - 120</t>
  </si>
  <si>
    <t>121 - 130</t>
  </si>
  <si>
    <t>Type in the total number of players who have bought in to your tournament.</t>
  </si>
  <si>
    <t>Type in the total fee paid by each player.</t>
  </si>
  <si>
    <t>Type in the amount to be paid out to each "Hitman".</t>
  </si>
  <si>
    <t>Type in the amount to be paid out to each "Hitman" of the secret bounty.</t>
  </si>
  <si>
    <t>Type in the amount to be paid to player with the highest hand for the tournament.</t>
  </si>
  <si>
    <t>Type in the amount to be paid out for the bad beat jackpot.</t>
  </si>
  <si>
    <t>This is a formula that calculates the total amount available for the prize pool.</t>
  </si>
  <si>
    <t>This is a formula that calculates the number of places paid based on the number of tournament entrants.</t>
  </si>
  <si>
    <t>This is a formula that calculates the amount to be taken out by the House [Total Collected-(House Fee per Player x Total Players].</t>
  </si>
  <si>
    <t>Type in the amount of the entrance fee that will be taken out by the house [e.g.: food, beverages, etc.].</t>
  </si>
  <si>
    <t>This is a formula that calculates the bounties to be paid out [Total Players x Bounty $].</t>
  </si>
  <si>
    <t>This is a formula that calculates the total amount collected [Total Players x Entrance Fee].</t>
  </si>
  <si>
    <t>Type in the amount you would like to pay to the player who finishes in the last payout spot.</t>
  </si>
  <si>
    <t>This is a formula that calculates the number of Secret Bounties to be paid out.</t>
  </si>
  <si>
    <t>This is a formula that shows the percentage difference between each place paid.</t>
  </si>
  <si>
    <t>Amount Leftover</t>
  </si>
  <si>
    <t>Prize</t>
  </si>
  <si>
    <t>Payout</t>
  </si>
  <si>
    <t>Rounded</t>
  </si>
  <si>
    <t>to</t>
  </si>
  <si>
    <t>Nearest</t>
  </si>
  <si>
    <t>Percent</t>
  </si>
  <si>
    <t>of Prize</t>
  </si>
  <si>
    <t>Pool</t>
  </si>
  <si>
    <t>Allocated</t>
  </si>
  <si>
    <t>% increase from one place to the next</t>
  </si>
  <si>
    <t>61 - 75</t>
  </si>
  <si>
    <t>76 - 90</t>
  </si>
  <si>
    <t>91 - 105</t>
  </si>
  <si>
    <t>106 - 120</t>
  </si>
  <si>
    <t>121 - 135</t>
  </si>
  <si>
    <t>136 - 150</t>
  </si>
  <si>
    <t>151 - 165</t>
  </si>
  <si>
    <t>Leftover</t>
  </si>
  <si>
    <t>Added to</t>
  </si>
  <si>
    <t>First</t>
  </si>
  <si>
    <t>Place</t>
  </si>
  <si>
    <t>Number of Places Paid</t>
  </si>
  <si>
    <t>Number of Players</t>
  </si>
  <si>
    <t>This is a formula that calculates the amount to be taken out by the House [Total Collected-(House Fee per Player x Total Players)].</t>
  </si>
  <si>
    <t>Only make entries in the highlighted cells (yellow).</t>
  </si>
  <si>
    <t>DO NOT MAKE ANY CHANGES TO FIELDS THAT ARE NOT HIGHLIGHTED YELLOW. These fields contain formulas</t>
  </si>
  <si>
    <t>Secret Bounties</t>
  </si>
  <si>
    <t>Secret bounties are special players randomly chosen.  If a player (the "hitman") knocks this player out they are awarded a special prize aside from the bounty.  In my tournaments I will sometimes give a special prize of $100 (instead of the $10) for knocking out a randomly chosen player.  For this I use plastic poker chips.  For each entrant I put a white chip in a bag (one of those cloth bank bags works well).  For every 20 entrants I replace a white chip with a red chip.  When a player is knocked out the "Hitman" reaches into the bag a pulls out a chip.  If it's white, they get $10, if it's red they get $100.</t>
  </si>
  <si>
    <t>High Hand and Bad Beat Jackpots</t>
  </si>
  <si>
    <t>Just a couple of fun prizes to give out, although they cannot be paid until the tournament has been completed. You can choose the amount to add to these side pools and they will be subtracted from the main prize pool.</t>
  </si>
  <si>
    <t>House Fee</t>
  </si>
  <si>
    <t>This is self explanatory, it's the amount withheld to pay for the venue, food, beverages, expenses, etc.</t>
  </si>
  <si>
    <t>The amount you choose to award the last spot on your payout list.  There is no calculation for this.  You can choose to award this person the initial buy-in fee or any amount.  For example, in my $120 buy-in tournaments with 45 players I will award $200 to the person finishing 6th.</t>
  </si>
  <si>
    <t>Often times, after rounding, there is some unassigned money.  Column O, Leftover Added to First Place, assigns this money to first place.</t>
  </si>
  <si>
    <t>The rest of the worksheet should be self explanatory.  My email is jhanna@joesgarage127.com if you have any questions.</t>
  </si>
  <si>
    <t>November 2011 is the most up to date worksheet.</t>
  </si>
  <si>
    <t>In my tournaments I give $10 for a "Kill", knock someone out you get $10.  This serves as a reason for people to let me know when someone has been eliminated form the tournament (helpful for balancing tables).</t>
  </si>
  <si>
    <t>Currently this is calculated based on the number of entrants.  I have it set to create another prize for every 15 entrants past 28 entrants.  Be careful if you are changing the formula to customize for yourself.  For example you may want a prize payout for every 10 entrants instead of 15.  I suggest that if you plan on customizing any formula you first copy the current workbook and paste it into a new workbook, essentially keeping the original as a template.</t>
  </si>
  <si>
    <t>Type in the amount to be paid out to each "Hitman" of the secret bounty.  Keep as 0 if not using.</t>
  </si>
  <si>
    <t>Type in the amount to be paid to player with the highest hand for the tournament. Keep as 0 if not using.</t>
  </si>
  <si>
    <t>Type in the amount to be paid out for the bad beat jackpot. Keep as 0 if not using.</t>
  </si>
  <si>
    <t>This is a formula that calculates the number of Secret Bounties to be paid out.If not using put 0 in cell C7,</t>
  </si>
  <si>
    <t>This is a formula that calculates the bounties to be paid out [(Total Players x Bounty $) + (Total Secret Bounties x Secret Bounty $)].</t>
  </si>
  <si>
    <t>This is a formula that shows the percentage difference between each place paid.This is only for informational purposes.</t>
  </si>
</sst>
</file>

<file path=xl/styles.xml><?xml version="1.0" encoding="utf-8"?>
<styleSheet xmlns="http://schemas.openxmlformats.org/spreadsheetml/2006/main">
  <numFmts count="3">
    <numFmt numFmtId="6" formatCode="&quot;$&quot;#,##0_);[Red]\(&quot;$&quot;#,##0\)"/>
    <numFmt numFmtId="164" formatCode="&quot;$&quot;#,##0.00"/>
    <numFmt numFmtId="165" formatCode="&quot;$&quot;#,##0"/>
  </numFmts>
  <fonts count="11">
    <font>
      <sz val="11"/>
      <color theme="1"/>
      <name val="Calibri"/>
      <family val="2"/>
      <scheme val="minor"/>
    </font>
    <font>
      <sz val="12"/>
      <color theme="1"/>
      <name val="Times New Roman"/>
      <family val="1"/>
    </font>
    <font>
      <u val="doubleAccounting"/>
      <sz val="12"/>
      <color theme="1"/>
      <name val="Times New Roman"/>
      <family val="1"/>
    </font>
    <font>
      <u val="singleAccounting"/>
      <sz val="12"/>
      <color theme="1"/>
      <name val="Times New Roman"/>
      <family val="1"/>
    </font>
    <font>
      <b/>
      <sz val="12"/>
      <color theme="1"/>
      <name val="Times New Roman"/>
      <family val="1"/>
    </font>
    <font>
      <sz val="11"/>
      <color theme="1"/>
      <name val="Calibri"/>
      <family val="2"/>
      <scheme val="minor"/>
    </font>
    <font>
      <i/>
      <sz val="12"/>
      <color theme="1"/>
      <name val="Times New Roman"/>
      <family val="1"/>
    </font>
    <font>
      <b/>
      <u val="doubleAccounting"/>
      <sz val="12"/>
      <color theme="1"/>
      <name val="Times New Roman"/>
      <family val="1"/>
    </font>
    <font>
      <u/>
      <sz val="12"/>
      <color theme="1"/>
      <name val="Times New Roman"/>
      <family val="1"/>
    </font>
    <font>
      <b/>
      <u/>
      <sz val="12"/>
      <color theme="1"/>
      <name val="Times New Roman"/>
      <family val="1"/>
    </font>
    <font>
      <b/>
      <sz val="16"/>
      <color theme="1"/>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5" fillId="0" borderId="0" applyFont="0" applyFill="0" applyBorder="0" applyAlignment="0" applyProtection="0"/>
  </cellStyleXfs>
  <cellXfs count="71">
    <xf numFmtId="0" fontId="0" fillId="0" borderId="0" xfId="0"/>
    <xf numFmtId="0" fontId="1" fillId="0" borderId="0" xfId="0" applyFont="1" applyAlignment="1">
      <alignment horizontal="center"/>
    </xf>
    <xf numFmtId="49" fontId="1" fillId="0" borderId="0" xfId="0" applyNumberFormat="1" applyFont="1" applyAlignment="1">
      <alignment horizontal="center"/>
    </xf>
    <xf numFmtId="49" fontId="1" fillId="0" borderId="0" xfId="0" applyNumberFormat="1" applyFont="1" applyFill="1" applyAlignment="1">
      <alignment horizontal="center"/>
    </xf>
    <xf numFmtId="0" fontId="1" fillId="0" borderId="0" xfId="0" applyFont="1"/>
    <xf numFmtId="0" fontId="1" fillId="0" borderId="0" xfId="0" applyFont="1" applyFill="1"/>
    <xf numFmtId="164" fontId="1" fillId="0" borderId="0" xfId="0" applyNumberFormat="1" applyFont="1"/>
    <xf numFmtId="164" fontId="1" fillId="0" borderId="0" xfId="0" applyNumberFormat="1" applyFont="1" applyFill="1"/>
    <xf numFmtId="165" fontId="1" fillId="0" borderId="0" xfId="0" applyNumberFormat="1" applyFont="1"/>
    <xf numFmtId="0" fontId="1" fillId="0" borderId="0" xfId="0" applyFont="1" applyAlignment="1">
      <alignment horizontal="right"/>
    </xf>
    <xf numFmtId="10" fontId="1" fillId="0" borderId="0" xfId="0" applyNumberFormat="1" applyFont="1" applyFill="1"/>
    <xf numFmtId="165" fontId="2" fillId="0" borderId="0" xfId="0" applyNumberFormat="1" applyFont="1"/>
    <xf numFmtId="0" fontId="1" fillId="0" borderId="0" xfId="0" applyFont="1" applyProtection="1">
      <protection locked="0"/>
    </xf>
    <xf numFmtId="165" fontId="1" fillId="0" borderId="0" xfId="0" applyNumberFormat="1" applyFont="1" applyProtection="1">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horizontal="center"/>
      <protection locked="0"/>
    </xf>
    <xf numFmtId="165" fontId="3" fillId="0" borderId="0" xfId="0" applyNumberFormat="1" applyFont="1" applyBorder="1" applyProtection="1">
      <protection locked="0"/>
    </xf>
    <xf numFmtId="165" fontId="1" fillId="0" borderId="0" xfId="0" applyNumberFormat="1" applyFont="1" applyFill="1" applyProtection="1">
      <protection locked="0"/>
    </xf>
    <xf numFmtId="165" fontId="2" fillId="0" borderId="0" xfId="0" applyNumberFormat="1" applyFont="1" applyFill="1" applyProtection="1">
      <protection locked="0"/>
    </xf>
    <xf numFmtId="165" fontId="1" fillId="0" borderId="0" xfId="0" applyNumberFormat="1" applyFont="1" applyProtection="1"/>
    <xf numFmtId="0" fontId="1" fillId="2" borderId="0" xfId="0" applyFont="1" applyFill="1" applyProtection="1">
      <protection locked="0"/>
    </xf>
    <xf numFmtId="165" fontId="1" fillId="2" borderId="0" xfId="0" applyNumberFormat="1" applyFont="1" applyFill="1" applyProtection="1">
      <protection locked="0"/>
    </xf>
    <xf numFmtId="0" fontId="1" fillId="0" borderId="0" xfId="0" applyFont="1" applyProtection="1"/>
    <xf numFmtId="0" fontId="1" fillId="0" borderId="0" xfId="0" applyFont="1" applyFill="1" applyProtection="1"/>
    <xf numFmtId="165" fontId="1" fillId="0" borderId="1" xfId="0" applyNumberFormat="1" applyFont="1" applyBorder="1" applyProtection="1"/>
    <xf numFmtId="10" fontId="1" fillId="0" borderId="0" xfId="0" applyNumberFormat="1" applyFont="1" applyProtection="1"/>
    <xf numFmtId="165" fontId="3" fillId="0" borderId="0" xfId="0" applyNumberFormat="1" applyFont="1" applyBorder="1" applyProtection="1"/>
    <xf numFmtId="165" fontId="1" fillId="0" borderId="0" xfId="0" applyNumberFormat="1" applyFont="1" applyBorder="1" applyProtection="1"/>
    <xf numFmtId="165" fontId="2" fillId="0" borderId="0" xfId="0" applyNumberFormat="1" applyFont="1" applyProtection="1"/>
    <xf numFmtId="0" fontId="4" fillId="0" borderId="0" xfId="0" applyFont="1" applyAlignment="1" applyProtection="1">
      <alignment horizontal="center"/>
      <protection locked="0"/>
    </xf>
    <xf numFmtId="0" fontId="4" fillId="0" borderId="0" xfId="0" applyFont="1" applyAlignment="1">
      <alignment horizontal="right"/>
    </xf>
    <xf numFmtId="165" fontId="4" fillId="0" borderId="0" xfId="0" applyNumberFormat="1" applyFont="1" applyProtection="1">
      <protection locked="0"/>
    </xf>
    <xf numFmtId="10" fontId="1" fillId="0" borderId="0" xfId="0" applyNumberFormat="1" applyFont="1"/>
    <xf numFmtId="164" fontId="1" fillId="0" borderId="0" xfId="0" applyNumberFormat="1" applyFont="1" applyAlignment="1">
      <alignment horizontal="center"/>
    </xf>
    <xf numFmtId="10" fontId="1" fillId="0" borderId="0" xfId="1" applyNumberFormat="1" applyFont="1"/>
    <xf numFmtId="0" fontId="4" fillId="0" borderId="0" xfId="0" applyFont="1"/>
    <xf numFmtId="0" fontId="4" fillId="0" borderId="0" xfId="0" applyFont="1" applyAlignment="1">
      <alignment horizontal="center"/>
    </xf>
    <xf numFmtId="165" fontId="7" fillId="0" borderId="0" xfId="0" applyNumberFormat="1" applyFont="1"/>
    <xf numFmtId="165" fontId="4" fillId="0" borderId="0" xfId="0" applyNumberFormat="1" applyFont="1" applyAlignment="1">
      <alignment horizontal="right"/>
    </xf>
    <xf numFmtId="164" fontId="4" fillId="0" borderId="0" xfId="0" applyNumberFormat="1" applyFont="1"/>
    <xf numFmtId="49" fontId="4" fillId="0" borderId="0" xfId="0" applyNumberFormat="1" applyFont="1" applyAlignment="1">
      <alignment horizontal="center"/>
    </xf>
    <xf numFmtId="49" fontId="8" fillId="0" borderId="0" xfId="0" applyNumberFormat="1" applyFont="1" applyAlignment="1" applyProtection="1">
      <alignment horizontal="center"/>
      <protection locked="0"/>
    </xf>
    <xf numFmtId="49" fontId="9" fillId="0" borderId="0" xfId="0" applyNumberFormat="1" applyFont="1" applyAlignment="1">
      <alignment horizontal="center"/>
    </xf>
    <xf numFmtId="6" fontId="9" fillId="0" borderId="0" xfId="0" applyNumberFormat="1" applyFont="1" applyAlignment="1">
      <alignment horizontal="center"/>
    </xf>
    <xf numFmtId="0" fontId="4" fillId="0" borderId="0" xfId="0" applyFont="1" applyBorder="1" applyAlignment="1">
      <alignment horizontal="center"/>
    </xf>
    <xf numFmtId="0" fontId="9" fillId="0" borderId="0" xfId="0" applyFont="1" applyBorder="1" applyAlignment="1">
      <alignment horizontal="center"/>
    </xf>
    <xf numFmtId="165" fontId="4" fillId="0" borderId="0" xfId="0" applyNumberFormat="1" applyFont="1"/>
    <xf numFmtId="0" fontId="9" fillId="0" borderId="0" xfId="0" applyFont="1" applyAlignment="1">
      <alignment horizontal="center"/>
    </xf>
    <xf numFmtId="0" fontId="4" fillId="0" borderId="1" xfId="0" applyFont="1" applyBorder="1" applyAlignment="1" applyProtection="1">
      <alignment horizontal="center"/>
      <protection locked="0"/>
    </xf>
    <xf numFmtId="49" fontId="9" fillId="0" borderId="1" xfId="0" applyNumberFormat="1" applyFont="1" applyBorder="1" applyAlignment="1" applyProtection="1">
      <alignment horizontal="center"/>
      <protection locked="0"/>
    </xf>
    <xf numFmtId="165" fontId="1" fillId="0" borderId="1" xfId="0" applyNumberFormat="1" applyFont="1" applyBorder="1" applyProtection="1">
      <protection locked="0"/>
    </xf>
    <xf numFmtId="165" fontId="3" fillId="0" borderId="1" xfId="0" applyNumberFormat="1" applyFont="1" applyBorder="1" applyProtection="1">
      <protection locked="0"/>
    </xf>
    <xf numFmtId="165" fontId="3" fillId="0" borderId="1" xfId="0" applyNumberFormat="1" applyFont="1" applyBorder="1" applyProtection="1"/>
    <xf numFmtId="165" fontId="2" fillId="0" borderId="1" xfId="0" applyNumberFormat="1" applyFont="1" applyBorder="1" applyProtection="1"/>
    <xf numFmtId="0" fontId="1" fillId="0" borderId="0" xfId="0" applyFont="1"/>
    <xf numFmtId="0" fontId="4" fillId="0" borderId="0" xfId="0" applyFont="1"/>
    <xf numFmtId="0" fontId="9" fillId="0" borderId="0" xfId="0" applyFont="1"/>
    <xf numFmtId="0" fontId="1"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xf>
    <xf numFmtId="0" fontId="1"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10" fontId="1" fillId="0" borderId="0" xfId="0" applyNumberFormat="1" applyFont="1" applyAlignment="1" applyProtection="1">
      <alignment horizontal="center" vertical="center"/>
    </xf>
    <xf numFmtId="0" fontId="1" fillId="0" borderId="0" xfId="0" applyFont="1" applyFill="1" applyAlignment="1">
      <alignment horizontal="center" vertical="center"/>
    </xf>
    <xf numFmtId="0" fontId="6" fillId="0" borderId="2" xfId="0" applyFont="1" applyBorder="1" applyAlignment="1">
      <alignment horizontal="left"/>
    </xf>
    <xf numFmtId="0" fontId="9"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46"/>
  <sheetViews>
    <sheetView tabSelected="1" workbookViewId="0">
      <selection sqref="A1:J1"/>
    </sheetView>
  </sheetViews>
  <sheetFormatPr defaultRowHeight="15.75"/>
  <cols>
    <col min="1" max="16384" width="9.140625" style="54"/>
  </cols>
  <sheetData>
    <row r="1" spans="1:10" ht="20.25">
      <c r="A1" s="59" t="s">
        <v>110</v>
      </c>
      <c r="B1" s="59"/>
      <c r="C1" s="59"/>
      <c r="D1" s="59"/>
      <c r="E1" s="59"/>
      <c r="F1" s="59"/>
      <c r="G1" s="59"/>
      <c r="H1" s="59"/>
      <c r="I1" s="59"/>
      <c r="J1" s="59"/>
    </row>
    <row r="3" spans="1:10">
      <c r="A3" s="55" t="s">
        <v>99</v>
      </c>
    </row>
    <row r="5" spans="1:10">
      <c r="A5" s="61" t="s">
        <v>100</v>
      </c>
      <c r="B5" s="61"/>
      <c r="C5" s="61"/>
      <c r="D5" s="61"/>
      <c r="E5" s="61"/>
      <c r="F5" s="61"/>
      <c r="G5" s="61"/>
      <c r="H5" s="61"/>
      <c r="I5" s="61"/>
      <c r="J5" s="61"/>
    </row>
    <row r="6" spans="1:10">
      <c r="A6" s="61"/>
      <c r="B6" s="61"/>
      <c r="C6" s="61"/>
      <c r="D6" s="61"/>
      <c r="E6" s="61"/>
      <c r="F6" s="61"/>
      <c r="G6" s="61"/>
      <c r="H6" s="61"/>
      <c r="I6" s="61"/>
      <c r="J6" s="61"/>
    </row>
    <row r="7" spans="1:10">
      <c r="A7" s="58"/>
      <c r="B7" s="58"/>
      <c r="C7" s="58"/>
      <c r="D7" s="58"/>
      <c r="E7" s="58"/>
      <c r="F7" s="58"/>
      <c r="G7" s="58"/>
      <c r="H7" s="58"/>
      <c r="I7" s="58"/>
      <c r="J7" s="58"/>
    </row>
    <row r="8" spans="1:10">
      <c r="A8" s="70" t="s">
        <v>96</v>
      </c>
      <c r="B8" s="70"/>
      <c r="C8" s="70"/>
      <c r="D8" s="70"/>
      <c r="E8" s="58"/>
      <c r="F8" s="58"/>
      <c r="G8" s="58"/>
      <c r="H8" s="58"/>
      <c r="I8" s="58"/>
      <c r="J8" s="58"/>
    </row>
    <row r="9" spans="1:10" ht="15.75" customHeight="1">
      <c r="A9" s="60" t="s">
        <v>112</v>
      </c>
      <c r="B9" s="60"/>
      <c r="C9" s="60"/>
      <c r="D9" s="60"/>
      <c r="E9" s="60"/>
      <c r="F9" s="60"/>
      <c r="G9" s="60"/>
      <c r="H9" s="60"/>
      <c r="I9" s="60"/>
      <c r="J9" s="60"/>
    </row>
    <row r="10" spans="1:10">
      <c r="A10" s="60"/>
      <c r="B10" s="60"/>
      <c r="C10" s="60"/>
      <c r="D10" s="60"/>
      <c r="E10" s="60"/>
      <c r="F10" s="60"/>
      <c r="G10" s="60"/>
      <c r="H10" s="60"/>
      <c r="I10" s="60"/>
      <c r="J10" s="60"/>
    </row>
    <row r="11" spans="1:10">
      <c r="A11" s="60"/>
      <c r="B11" s="60"/>
      <c r="C11" s="60"/>
      <c r="D11" s="60"/>
      <c r="E11" s="60"/>
      <c r="F11" s="60"/>
      <c r="G11" s="60"/>
      <c r="H11" s="60"/>
      <c r="I11" s="60"/>
      <c r="J11" s="60"/>
    </row>
    <row r="12" spans="1:10">
      <c r="A12" s="60"/>
      <c r="B12" s="60"/>
      <c r="C12" s="60"/>
      <c r="D12" s="60"/>
      <c r="E12" s="60"/>
      <c r="F12" s="60"/>
      <c r="G12" s="60"/>
      <c r="H12" s="60"/>
      <c r="I12" s="60"/>
      <c r="J12" s="60"/>
    </row>
    <row r="13" spans="1:10">
      <c r="A13" s="60"/>
      <c r="B13" s="60"/>
      <c r="C13" s="60"/>
      <c r="D13" s="60"/>
      <c r="E13" s="60"/>
      <c r="F13" s="60"/>
      <c r="G13" s="60"/>
      <c r="H13" s="60"/>
      <c r="I13" s="60"/>
      <c r="J13" s="60"/>
    </row>
    <row r="14" spans="1:10">
      <c r="A14" s="1"/>
    </row>
    <row r="15" spans="1:10">
      <c r="A15" s="56" t="s">
        <v>4</v>
      </c>
    </row>
    <row r="16" spans="1:10">
      <c r="A16" s="62" t="s">
        <v>111</v>
      </c>
      <c r="B16" s="62"/>
      <c r="C16" s="62"/>
      <c r="D16" s="62"/>
      <c r="E16" s="62"/>
      <c r="F16" s="62"/>
      <c r="G16" s="62"/>
      <c r="H16" s="62"/>
      <c r="I16" s="62"/>
      <c r="J16" s="62"/>
    </row>
    <row r="17" spans="1:10">
      <c r="A17" s="62"/>
      <c r="B17" s="62"/>
      <c r="C17" s="62"/>
      <c r="D17" s="62"/>
      <c r="E17" s="62"/>
      <c r="F17" s="62"/>
      <c r="G17" s="62"/>
      <c r="H17" s="62"/>
      <c r="I17" s="62"/>
      <c r="J17" s="62"/>
    </row>
    <row r="18" spans="1:10">
      <c r="A18" s="62"/>
      <c r="B18" s="62"/>
      <c r="C18" s="62"/>
      <c r="D18" s="62"/>
      <c r="E18" s="62"/>
      <c r="F18" s="62"/>
      <c r="G18" s="62"/>
      <c r="H18" s="62"/>
      <c r="I18" s="62"/>
      <c r="J18" s="62"/>
    </row>
    <row r="19" spans="1:10">
      <c r="A19" s="57"/>
      <c r="B19" s="57"/>
      <c r="C19" s="57"/>
      <c r="D19" s="57"/>
      <c r="E19" s="57"/>
      <c r="F19" s="57"/>
      <c r="G19" s="57"/>
      <c r="H19" s="57"/>
      <c r="I19" s="57"/>
      <c r="J19" s="57"/>
    </row>
    <row r="20" spans="1:10">
      <c r="A20" s="56" t="s">
        <v>101</v>
      </c>
    </row>
    <row r="21" spans="1:10">
      <c r="A21" s="62" t="s">
        <v>102</v>
      </c>
      <c r="B21" s="62"/>
      <c r="C21" s="62"/>
      <c r="D21" s="62"/>
      <c r="E21" s="62"/>
      <c r="F21" s="62"/>
      <c r="G21" s="62"/>
      <c r="H21" s="62"/>
      <c r="I21" s="62"/>
      <c r="J21" s="62"/>
    </row>
    <row r="22" spans="1:10">
      <c r="A22" s="62"/>
      <c r="B22" s="62"/>
      <c r="C22" s="62"/>
      <c r="D22" s="62"/>
      <c r="E22" s="62"/>
      <c r="F22" s="62"/>
      <c r="G22" s="62"/>
      <c r="H22" s="62"/>
      <c r="I22" s="62"/>
      <c r="J22" s="62"/>
    </row>
    <row r="23" spans="1:10">
      <c r="A23" s="62"/>
      <c r="B23" s="62"/>
      <c r="C23" s="62"/>
      <c r="D23" s="62"/>
      <c r="E23" s="62"/>
      <c r="F23" s="62"/>
      <c r="G23" s="62"/>
      <c r="H23" s="62"/>
      <c r="I23" s="62"/>
      <c r="J23" s="62"/>
    </row>
    <row r="24" spans="1:10">
      <c r="A24" s="62"/>
      <c r="B24" s="62"/>
      <c r="C24" s="62"/>
      <c r="D24" s="62"/>
      <c r="E24" s="62"/>
      <c r="F24" s="62"/>
      <c r="G24" s="62"/>
      <c r="H24" s="62"/>
      <c r="I24" s="62"/>
      <c r="J24" s="62"/>
    </row>
    <row r="25" spans="1:10">
      <c r="A25" s="62"/>
      <c r="B25" s="62"/>
      <c r="C25" s="62"/>
      <c r="D25" s="62"/>
      <c r="E25" s="62"/>
      <c r="F25" s="62"/>
      <c r="G25" s="62"/>
      <c r="H25" s="62"/>
      <c r="I25" s="62"/>
      <c r="J25" s="62"/>
    </row>
    <row r="26" spans="1:10" ht="29.25" customHeight="1">
      <c r="A26" s="62"/>
      <c r="B26" s="62"/>
      <c r="C26" s="62"/>
      <c r="D26" s="62"/>
      <c r="E26" s="62"/>
      <c r="F26" s="62"/>
      <c r="G26" s="62"/>
      <c r="H26" s="62"/>
      <c r="I26" s="62"/>
      <c r="J26" s="62"/>
    </row>
    <row r="28" spans="1:10">
      <c r="A28" s="56" t="s">
        <v>103</v>
      </c>
    </row>
    <row r="29" spans="1:10">
      <c r="A29" s="60" t="s">
        <v>104</v>
      </c>
      <c r="B29" s="60"/>
      <c r="C29" s="60"/>
      <c r="D29" s="60"/>
      <c r="E29" s="60"/>
      <c r="F29" s="60"/>
      <c r="G29" s="60"/>
      <c r="H29" s="60"/>
      <c r="I29" s="60"/>
      <c r="J29" s="60"/>
    </row>
    <row r="30" spans="1:10">
      <c r="A30" s="60"/>
      <c r="B30" s="60"/>
      <c r="C30" s="60"/>
      <c r="D30" s="60"/>
      <c r="E30" s="60"/>
      <c r="F30" s="60"/>
      <c r="G30" s="60"/>
      <c r="H30" s="60"/>
      <c r="I30" s="60"/>
      <c r="J30" s="60"/>
    </row>
    <row r="31" spans="1:10" ht="22.5" customHeight="1">
      <c r="A31" s="60"/>
      <c r="B31" s="60"/>
      <c r="C31" s="60"/>
      <c r="D31" s="60"/>
      <c r="E31" s="60"/>
      <c r="F31" s="60"/>
      <c r="G31" s="60"/>
      <c r="H31" s="60"/>
      <c r="I31" s="60"/>
      <c r="J31" s="60"/>
    </row>
    <row r="32" spans="1:10">
      <c r="A32" s="56"/>
    </row>
    <row r="33" spans="1:10">
      <c r="A33" s="56" t="s">
        <v>105</v>
      </c>
    </row>
    <row r="34" spans="1:10">
      <c r="A34" s="54" t="s">
        <v>106</v>
      </c>
    </row>
    <row r="36" spans="1:10">
      <c r="A36" s="56" t="s">
        <v>6</v>
      </c>
    </row>
    <row r="37" spans="1:10">
      <c r="A37" s="60" t="s">
        <v>107</v>
      </c>
      <c r="B37" s="60"/>
      <c r="C37" s="60"/>
      <c r="D37" s="60"/>
      <c r="E37" s="60"/>
      <c r="F37" s="60"/>
      <c r="G37" s="60"/>
      <c r="H37" s="60"/>
      <c r="I37" s="60"/>
      <c r="J37" s="60"/>
    </row>
    <row r="38" spans="1:10">
      <c r="A38" s="60"/>
      <c r="B38" s="60"/>
      <c r="C38" s="60"/>
      <c r="D38" s="60"/>
      <c r="E38" s="60"/>
      <c r="F38" s="60"/>
      <c r="G38" s="60"/>
      <c r="H38" s="60"/>
      <c r="I38" s="60"/>
      <c r="J38" s="60"/>
    </row>
    <row r="39" spans="1:10" ht="20.25" customHeight="1">
      <c r="A39" s="60"/>
      <c r="B39" s="60"/>
      <c r="C39" s="60"/>
      <c r="D39" s="60"/>
      <c r="E39" s="60"/>
      <c r="F39" s="60"/>
      <c r="G39" s="60"/>
      <c r="H39" s="60"/>
      <c r="I39" s="60"/>
      <c r="J39" s="60"/>
    </row>
    <row r="41" spans="1:10">
      <c r="A41" s="56" t="s">
        <v>92</v>
      </c>
    </row>
    <row r="42" spans="1:10">
      <c r="A42" s="60" t="s">
        <v>108</v>
      </c>
      <c r="B42" s="60"/>
      <c r="C42" s="60"/>
      <c r="D42" s="60"/>
      <c r="E42" s="60"/>
      <c r="F42" s="60"/>
      <c r="G42" s="60"/>
      <c r="H42" s="60"/>
      <c r="I42" s="60"/>
      <c r="J42" s="60"/>
    </row>
    <row r="43" spans="1:10" ht="21" customHeight="1">
      <c r="A43" s="60"/>
      <c r="B43" s="60"/>
      <c r="C43" s="60"/>
      <c r="D43" s="60"/>
      <c r="E43" s="60"/>
      <c r="F43" s="60"/>
      <c r="G43" s="60"/>
      <c r="H43" s="60"/>
      <c r="I43" s="60"/>
      <c r="J43" s="60"/>
    </row>
    <row r="45" spans="1:10">
      <c r="A45" s="60" t="s">
        <v>109</v>
      </c>
      <c r="B45" s="60"/>
      <c r="C45" s="60"/>
      <c r="D45" s="60"/>
      <c r="E45" s="60"/>
      <c r="F45" s="60"/>
      <c r="G45" s="60"/>
      <c r="H45" s="60"/>
      <c r="I45" s="60"/>
      <c r="J45" s="60"/>
    </row>
    <row r="46" spans="1:10" ht="24.75" customHeight="1">
      <c r="A46" s="60"/>
      <c r="B46" s="60"/>
      <c r="C46" s="60"/>
      <c r="D46" s="60"/>
      <c r="E46" s="60"/>
      <c r="F46" s="60"/>
      <c r="G46" s="60"/>
      <c r="H46" s="60"/>
      <c r="I46" s="60"/>
      <c r="J46" s="60"/>
    </row>
  </sheetData>
  <mergeCells count="10">
    <mergeCell ref="A1:J1"/>
    <mergeCell ref="A45:J46"/>
    <mergeCell ref="A5:J6"/>
    <mergeCell ref="A16:J18"/>
    <mergeCell ref="A21:J26"/>
    <mergeCell ref="A29:J31"/>
    <mergeCell ref="A37:J39"/>
    <mergeCell ref="A42:J43"/>
    <mergeCell ref="A8:D8"/>
    <mergeCell ref="A9:J13"/>
  </mergeCells>
  <pageMargins left="0.5" right="0.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N40"/>
  <sheetViews>
    <sheetView zoomScale="75" zoomScaleNormal="75" workbookViewId="0"/>
  </sheetViews>
  <sheetFormatPr defaultRowHeight="15.75"/>
  <cols>
    <col min="1" max="1" width="21.42578125" style="4" customWidth="1"/>
    <col min="2" max="2" width="10.85546875" style="5" bestFit="1" customWidth="1"/>
    <col min="3" max="13" width="9.7109375" style="4" customWidth="1"/>
    <col min="14" max="14" width="10.140625" style="4" bestFit="1" customWidth="1"/>
    <col min="15" max="16384" width="9.140625" style="4"/>
  </cols>
  <sheetData>
    <row r="1" spans="1:14" s="2" customFormat="1">
      <c r="B1" s="3"/>
    </row>
    <row r="2" spans="1:14">
      <c r="A2" s="4" t="s">
        <v>0</v>
      </c>
      <c r="C2" s="20">
        <v>37</v>
      </c>
      <c r="F2" s="6"/>
      <c r="G2" s="6"/>
      <c r="H2" s="6"/>
      <c r="I2" s="6"/>
      <c r="J2" s="6"/>
      <c r="K2" s="6"/>
      <c r="L2" s="6"/>
      <c r="M2" s="6"/>
      <c r="N2" s="6"/>
    </row>
    <row r="3" spans="1:14">
      <c r="A3" s="4" t="s">
        <v>9</v>
      </c>
      <c r="C3" s="22">
        <f>ROUNDDOWN(C2*0.05,0)</f>
        <v>1</v>
      </c>
      <c r="F3" s="6"/>
      <c r="G3" s="6"/>
      <c r="H3" s="6"/>
      <c r="I3" s="6"/>
      <c r="J3" s="6"/>
      <c r="K3" s="6"/>
      <c r="L3" s="6"/>
      <c r="M3" s="6"/>
      <c r="N3" s="6"/>
    </row>
    <row r="4" spans="1:14">
      <c r="A4" s="4" t="s">
        <v>11</v>
      </c>
      <c r="B4" s="7"/>
      <c r="C4" s="21">
        <v>10</v>
      </c>
      <c r="F4" s="6"/>
      <c r="G4" s="6"/>
      <c r="H4" s="6"/>
      <c r="I4" s="6"/>
      <c r="J4" s="6"/>
      <c r="K4" s="6"/>
      <c r="L4" s="6"/>
      <c r="M4" s="6"/>
      <c r="N4" s="6"/>
    </row>
    <row r="5" spans="1:14">
      <c r="A5" s="4" t="s">
        <v>10</v>
      </c>
      <c r="B5" s="7"/>
      <c r="C5" s="21">
        <v>0</v>
      </c>
      <c r="H5" s="6"/>
      <c r="I5" s="6"/>
      <c r="J5" s="6"/>
      <c r="K5" s="6"/>
      <c r="L5" s="6"/>
      <c r="M5" s="6"/>
      <c r="N5" s="6"/>
    </row>
    <row r="6" spans="1:14">
      <c r="A6" s="4" t="s">
        <v>1</v>
      </c>
      <c r="B6" s="7"/>
      <c r="C6" s="21">
        <v>200</v>
      </c>
      <c r="I6" s="6"/>
      <c r="J6" s="6"/>
      <c r="K6" s="6"/>
      <c r="L6" s="6"/>
      <c r="M6" s="6"/>
      <c r="N6" s="6"/>
    </row>
    <row r="7" spans="1:14">
      <c r="A7" s="4" t="s">
        <v>2</v>
      </c>
      <c r="C7" s="23">
        <f>IF($C$2&lt;11,3,IF($C$2&lt;18,4,IF($C$2&lt;28,5,IF($C$2&lt;37,6,IF($C$2&lt;46,7,IF($C$2&lt;55,8,IF($C$2&lt;64,9,IF($C$2&lt;73,10,IF($C$2&lt;82,11,IF($C$2&lt;91,12,13))))))))))</f>
        <v>7</v>
      </c>
      <c r="J7" s="6"/>
      <c r="K7" s="6"/>
      <c r="L7" s="6"/>
      <c r="M7" s="6"/>
      <c r="N7" s="6"/>
    </row>
    <row r="8" spans="1:14">
      <c r="A8" s="4" t="s">
        <v>3</v>
      </c>
      <c r="B8" s="7"/>
      <c r="C8" s="19">
        <f>SUM(C2*C6)</f>
        <v>7400</v>
      </c>
      <c r="K8" s="6"/>
      <c r="L8" s="6"/>
      <c r="M8" s="6"/>
      <c r="N8" s="6"/>
    </row>
    <row r="9" spans="1:14">
      <c r="A9" s="4" t="s">
        <v>4</v>
      </c>
      <c r="B9" s="7"/>
      <c r="C9" s="19">
        <f>SUM((C3*C5)+(C2*C4))</f>
        <v>370</v>
      </c>
      <c r="L9" s="6"/>
      <c r="M9" s="6"/>
      <c r="N9" s="6"/>
    </row>
    <row r="10" spans="1:14">
      <c r="A10" s="4" t="s">
        <v>5</v>
      </c>
      <c r="B10" s="7"/>
      <c r="C10" s="24">
        <f>SUM(C8-C9)</f>
        <v>7030</v>
      </c>
      <c r="M10" s="6"/>
      <c r="N10" s="6"/>
    </row>
    <row r="11" spans="1:14">
      <c r="A11" s="4" t="s">
        <v>6</v>
      </c>
      <c r="B11" s="7"/>
      <c r="C11" s="21">
        <v>240</v>
      </c>
      <c r="N11" s="6"/>
    </row>
    <row r="12" spans="1:14">
      <c r="A12" s="4" t="s">
        <v>7</v>
      </c>
      <c r="C12" s="12"/>
    </row>
    <row r="13" spans="1:14">
      <c r="A13" s="9" t="s">
        <v>8</v>
      </c>
      <c r="B13" s="10"/>
      <c r="C13" s="25">
        <f>RATE($C$7,$C$11,0,-C10)</f>
        <v>0.46840296122260167</v>
      </c>
      <c r="F13" s="6"/>
      <c r="G13" s="6"/>
      <c r="H13" s="6"/>
      <c r="I13" s="6"/>
      <c r="J13" s="6"/>
      <c r="K13" s="6"/>
      <c r="L13" s="6"/>
      <c r="M13" s="6"/>
      <c r="N13" s="6"/>
    </row>
    <row r="14" spans="1:14">
      <c r="F14" s="6"/>
      <c r="G14" s="6"/>
      <c r="H14" s="6"/>
      <c r="I14" s="6"/>
      <c r="J14" s="6"/>
      <c r="K14" s="6"/>
      <c r="L14" s="6"/>
      <c r="M14" s="6"/>
      <c r="N14" s="6"/>
    </row>
    <row r="15" spans="1:14">
      <c r="F15" s="6"/>
      <c r="G15" s="6"/>
      <c r="H15" s="6"/>
      <c r="I15" s="6"/>
      <c r="J15" s="6"/>
      <c r="K15" s="6"/>
      <c r="L15" s="6"/>
      <c r="M15" s="6"/>
      <c r="N15" s="6"/>
    </row>
    <row r="16" spans="1:14">
      <c r="B16" s="12"/>
      <c r="C16" s="14">
        <v>3</v>
      </c>
      <c r="D16" s="14">
        <v>4</v>
      </c>
      <c r="E16" s="14">
        <v>5</v>
      </c>
      <c r="F16" s="14">
        <v>6</v>
      </c>
      <c r="G16" s="14">
        <v>7</v>
      </c>
      <c r="H16" s="14">
        <v>8</v>
      </c>
      <c r="I16" s="14">
        <v>9</v>
      </c>
      <c r="J16" s="14">
        <v>10</v>
      </c>
      <c r="K16" s="14">
        <v>11</v>
      </c>
      <c r="L16" s="14">
        <v>12</v>
      </c>
      <c r="M16" s="14">
        <v>13</v>
      </c>
    </row>
    <row r="17" spans="1:14" s="1" customFormat="1">
      <c r="B17" s="14"/>
      <c r="C17" s="15" t="s">
        <v>33</v>
      </c>
      <c r="D17" s="15" t="s">
        <v>23</v>
      </c>
      <c r="E17" s="15" t="s">
        <v>24</v>
      </c>
      <c r="F17" s="15" t="s">
        <v>25</v>
      </c>
      <c r="G17" s="15" t="s">
        <v>26</v>
      </c>
      <c r="H17" s="15" t="s">
        <v>27</v>
      </c>
      <c r="I17" s="15" t="s">
        <v>28</v>
      </c>
      <c r="J17" s="15" t="s">
        <v>29</v>
      </c>
      <c r="K17" s="15" t="s">
        <v>30</v>
      </c>
      <c r="L17" s="15" t="s">
        <v>31</v>
      </c>
      <c r="M17" s="15" t="s">
        <v>32</v>
      </c>
      <c r="N17" s="2"/>
    </row>
    <row r="18" spans="1:14">
      <c r="A18" s="4" t="str">
        <f>IF($B$7&gt;0,"1st PLACE","")</f>
        <v/>
      </c>
      <c r="B18" s="12" t="s">
        <v>12</v>
      </c>
      <c r="C18" s="19" t="str">
        <f>IF($C$2&lt;11,SUM($C$10*0.55),"")</f>
        <v/>
      </c>
      <c r="D18" s="19" t="str">
        <f t="shared" ref="D18:D19" si="0">IF($C$7=D$16,FLOOR(SUM((RATE($C$7,$C$11,0,-$C$10)*D19)+D19),1),"")</f>
        <v/>
      </c>
      <c r="E18" s="19" t="str">
        <f t="shared" ref="E18:E20" si="1">IF($C$7=E$16,FLOOR(SUM((RATE($C$7,$C$11,0,-$C$10)*E19)+E19),1),"")</f>
        <v/>
      </c>
      <c r="F18" s="19" t="str">
        <f t="shared" ref="F18:F21" si="2">IF($C$7=F$16,FLOOR(SUM((RATE($C$7,$C$11,0,-$C$10)*F19)+F19),1),"")</f>
        <v/>
      </c>
      <c r="G18" s="19">
        <f t="shared" ref="G18:G22" si="3">IF($C$7=G$16,FLOOR(SUM((RATE($C$7,$C$11,0,-$C$10)*G19)+G19),1),"")</f>
        <v>2394</v>
      </c>
      <c r="H18" s="19" t="str">
        <f t="shared" ref="H18:H23" si="4">IF($C$7=H$16,FLOOR(SUM((RATE($C$7,$C$11,0,-$C$10)*H19)+H19),1),"")</f>
        <v/>
      </c>
      <c r="I18" s="19" t="str">
        <f t="shared" ref="I18:I24" si="5">IF($C$7=I$16,FLOOR(SUM((RATE($C$7,$C$11,0,-$C$10)*I19)+I19),1),"")</f>
        <v/>
      </c>
      <c r="J18" s="19" t="str">
        <f t="shared" ref="J18:J25" si="6">IF($C$7=J$16,FLOOR(SUM((RATE($C$7,$C$11,0,-$C$10)*J19)+J19),1),"")</f>
        <v/>
      </c>
      <c r="K18" s="19" t="str">
        <f t="shared" ref="K18:K26" si="7">IF($C$7=K$16,FLOOR(SUM((RATE($C$7,$C$11,0,-$C$10)*K19)+K19),1),"")</f>
        <v/>
      </c>
      <c r="L18" s="19" t="str">
        <f t="shared" ref="L18:L27" si="8">IF($C$7=L$16,FLOOR(SUM((RATE($C$7,$C$11,0,-$C$10)*L19)+L19),1),"")</f>
        <v/>
      </c>
      <c r="M18" s="19" t="str">
        <f t="shared" ref="M18:M28" si="9">IF($C$7=M$16,FLOOR(SUM((RATE($C$7,$C$11,0,-$C$10)*M19)+M19),1),"")</f>
        <v/>
      </c>
    </row>
    <row r="19" spans="1:14">
      <c r="A19" s="4" t="str">
        <f>IF($B$7&gt;1,"2nd PLACE","")</f>
        <v/>
      </c>
      <c r="B19" s="12" t="s">
        <v>13</v>
      </c>
      <c r="C19" s="19" t="str">
        <f>IF($C$2&lt;11,SUM($C$10*0.3),"")</f>
        <v/>
      </c>
      <c r="D19" s="19" t="str">
        <f t="shared" si="0"/>
        <v/>
      </c>
      <c r="E19" s="19" t="str">
        <f t="shared" si="1"/>
        <v/>
      </c>
      <c r="F19" s="19" t="str">
        <f t="shared" si="2"/>
        <v/>
      </c>
      <c r="G19" s="19">
        <f t="shared" si="3"/>
        <v>1631</v>
      </c>
      <c r="H19" s="19" t="str">
        <f t="shared" si="4"/>
        <v/>
      </c>
      <c r="I19" s="19" t="str">
        <f t="shared" si="5"/>
        <v/>
      </c>
      <c r="J19" s="19" t="str">
        <f t="shared" si="6"/>
        <v/>
      </c>
      <c r="K19" s="19" t="str">
        <f t="shared" si="7"/>
        <v/>
      </c>
      <c r="L19" s="19" t="str">
        <f t="shared" si="8"/>
        <v/>
      </c>
      <c r="M19" s="19" t="str">
        <f t="shared" si="9"/>
        <v/>
      </c>
    </row>
    <row r="20" spans="1:14">
      <c r="A20" s="4" t="str">
        <f>IF($B$7&gt;2,"3rd PLACE","")</f>
        <v/>
      </c>
      <c r="B20" s="12" t="s">
        <v>14</v>
      </c>
      <c r="C20" s="19" t="str">
        <f>IF($C$2&lt;11,SUM($C$10*0.15),"")</f>
        <v/>
      </c>
      <c r="D20" s="19" t="str">
        <f>IF($C$7=D$16,FLOOR(SUM((RATE($C$7,$C$11,0,-$C$10)*D21)+D21),1),"")</f>
        <v/>
      </c>
      <c r="E20" s="19" t="str">
        <f t="shared" si="1"/>
        <v/>
      </c>
      <c r="F20" s="19" t="str">
        <f t="shared" si="2"/>
        <v/>
      </c>
      <c r="G20" s="19">
        <f t="shared" si="3"/>
        <v>1111</v>
      </c>
      <c r="H20" s="19" t="str">
        <f t="shared" si="4"/>
        <v/>
      </c>
      <c r="I20" s="19" t="str">
        <f t="shared" si="5"/>
        <v/>
      </c>
      <c r="J20" s="19" t="str">
        <f t="shared" si="6"/>
        <v/>
      </c>
      <c r="K20" s="19" t="str">
        <f t="shared" si="7"/>
        <v/>
      </c>
      <c r="L20" s="19" t="str">
        <f t="shared" si="8"/>
        <v/>
      </c>
      <c r="M20" s="19" t="str">
        <f t="shared" si="9"/>
        <v/>
      </c>
    </row>
    <row r="21" spans="1:14">
      <c r="A21" s="4" t="str">
        <f>IF($B$7&gt;3,"4th PLACE","")</f>
        <v/>
      </c>
      <c r="B21" s="12" t="s">
        <v>15</v>
      </c>
      <c r="C21" s="13"/>
      <c r="D21" s="19" t="str">
        <f>IF($C$7=4,SUM($C$11),"")</f>
        <v/>
      </c>
      <c r="E21" s="19" t="str">
        <f>IF($C$7=E$16,FLOOR(SUM((RATE($C$7,$C$11,0,-$C$10)*E22)+E22),1),"")</f>
        <v/>
      </c>
      <c r="F21" s="19" t="str">
        <f t="shared" si="2"/>
        <v/>
      </c>
      <c r="G21" s="19">
        <f t="shared" si="3"/>
        <v>757</v>
      </c>
      <c r="H21" s="19" t="str">
        <f t="shared" si="4"/>
        <v/>
      </c>
      <c r="I21" s="19" t="str">
        <f t="shared" si="5"/>
        <v/>
      </c>
      <c r="J21" s="19" t="str">
        <f t="shared" si="6"/>
        <v/>
      </c>
      <c r="K21" s="19" t="str">
        <f t="shared" si="7"/>
        <v/>
      </c>
      <c r="L21" s="19" t="str">
        <f t="shared" si="8"/>
        <v/>
      </c>
      <c r="M21" s="19" t="str">
        <f t="shared" si="9"/>
        <v/>
      </c>
    </row>
    <row r="22" spans="1:14">
      <c r="A22" s="4" t="str">
        <f>IF($B$7&gt;4,"5th PLACE","")</f>
        <v/>
      </c>
      <c r="B22" s="12" t="s">
        <v>16</v>
      </c>
      <c r="C22" s="13"/>
      <c r="D22" s="13"/>
      <c r="E22" s="19" t="str">
        <f>IF($C$7=5,SUM($C$11),"")</f>
        <v/>
      </c>
      <c r="F22" s="19" t="str">
        <f>IF($C$7=F$16,FLOOR(SUM((RATE($C$7,$C$11,0,-$C$10)*F23)+F23),1),"")</f>
        <v/>
      </c>
      <c r="G22" s="19">
        <f t="shared" si="3"/>
        <v>516</v>
      </c>
      <c r="H22" s="19" t="str">
        <f t="shared" si="4"/>
        <v/>
      </c>
      <c r="I22" s="19" t="str">
        <f t="shared" si="5"/>
        <v/>
      </c>
      <c r="J22" s="19" t="str">
        <f t="shared" si="6"/>
        <v/>
      </c>
      <c r="K22" s="19" t="str">
        <f t="shared" si="7"/>
        <v/>
      </c>
      <c r="L22" s="19" t="str">
        <f t="shared" si="8"/>
        <v/>
      </c>
      <c r="M22" s="19" t="str">
        <f t="shared" si="9"/>
        <v/>
      </c>
    </row>
    <row r="23" spans="1:14">
      <c r="A23" s="4" t="str">
        <f>IF($B$7&gt;5,"6th PLACE","")</f>
        <v/>
      </c>
      <c r="B23" s="12" t="s">
        <v>17</v>
      </c>
      <c r="C23" s="13"/>
      <c r="D23" s="13"/>
      <c r="E23" s="13"/>
      <c r="F23" s="19" t="str">
        <f>IF($C$7=6,SUM($C$11),"")</f>
        <v/>
      </c>
      <c r="G23" s="19">
        <f>IF($C$7=G$16,FLOOR(SUM((RATE($C$7,$C$11,0,-$C$10)*G24)+G24),1),"")</f>
        <v>352</v>
      </c>
      <c r="H23" s="19" t="str">
        <f t="shared" si="4"/>
        <v/>
      </c>
      <c r="I23" s="19" t="str">
        <f t="shared" si="5"/>
        <v/>
      </c>
      <c r="J23" s="19" t="str">
        <f t="shared" si="6"/>
        <v/>
      </c>
      <c r="K23" s="19" t="str">
        <f t="shared" si="7"/>
        <v/>
      </c>
      <c r="L23" s="19" t="str">
        <f t="shared" si="8"/>
        <v/>
      </c>
      <c r="M23" s="19" t="str">
        <f t="shared" si="9"/>
        <v/>
      </c>
    </row>
    <row r="24" spans="1:14">
      <c r="A24" s="4" t="str">
        <f>IF($B$7&gt;6,"7th PLACE","")</f>
        <v/>
      </c>
      <c r="B24" s="12" t="s">
        <v>18</v>
      </c>
      <c r="C24" s="13"/>
      <c r="D24" s="13"/>
      <c r="E24" s="13"/>
      <c r="F24" s="13"/>
      <c r="G24" s="19">
        <f>IF($C$7=7,SUM($C$11),"")</f>
        <v>240</v>
      </c>
      <c r="H24" s="19" t="str">
        <f>IF($C$7=H$16,FLOOR(SUM((RATE($C$7,$C$11,0,-$C$10)*H25)+H25),1),"")</f>
        <v/>
      </c>
      <c r="I24" s="19" t="str">
        <f t="shared" si="5"/>
        <v/>
      </c>
      <c r="J24" s="19" t="str">
        <f t="shared" si="6"/>
        <v/>
      </c>
      <c r="K24" s="19" t="str">
        <f t="shared" si="7"/>
        <v/>
      </c>
      <c r="L24" s="19" t="str">
        <f t="shared" si="8"/>
        <v/>
      </c>
      <c r="M24" s="19" t="str">
        <f t="shared" si="9"/>
        <v/>
      </c>
    </row>
    <row r="25" spans="1:14">
      <c r="A25" s="4" t="str">
        <f>IF($B$7&gt;7,"8th PLACE","")</f>
        <v/>
      </c>
      <c r="B25" s="12" t="s">
        <v>19</v>
      </c>
      <c r="C25" s="13"/>
      <c r="D25" s="13"/>
      <c r="E25" s="13"/>
      <c r="F25" s="13"/>
      <c r="G25" s="13"/>
      <c r="H25" s="19" t="str">
        <f>IF($C$7=8,SUM($C$11),"")</f>
        <v/>
      </c>
      <c r="I25" s="19" t="str">
        <f>IF($C$7=I$16,FLOOR(SUM((RATE($C$7,$C$11,0,-$C$10)*I26)+I26),1),"")</f>
        <v/>
      </c>
      <c r="J25" s="19" t="str">
        <f t="shared" si="6"/>
        <v/>
      </c>
      <c r="K25" s="19" t="str">
        <f t="shared" si="7"/>
        <v/>
      </c>
      <c r="L25" s="19" t="str">
        <f t="shared" si="8"/>
        <v/>
      </c>
      <c r="M25" s="19" t="str">
        <f t="shared" si="9"/>
        <v/>
      </c>
    </row>
    <row r="26" spans="1:14">
      <c r="A26" s="4" t="str">
        <f>IF($B$7&gt;8,"9th PLACE","")</f>
        <v/>
      </c>
      <c r="B26" s="12" t="s">
        <v>20</v>
      </c>
      <c r="C26" s="13"/>
      <c r="D26" s="13"/>
      <c r="E26" s="13"/>
      <c r="F26" s="13"/>
      <c r="G26" s="13"/>
      <c r="H26" s="13"/>
      <c r="I26" s="19" t="str">
        <f>IF($C$7=9,SUM($C$11),"")</f>
        <v/>
      </c>
      <c r="J26" s="19" t="str">
        <f>IF($C$7=J$16,FLOOR(SUM((RATE($C$7,$C$11,0,-$C$10)*J27)+J27),1),"")</f>
        <v/>
      </c>
      <c r="K26" s="19" t="str">
        <f t="shared" si="7"/>
        <v/>
      </c>
      <c r="L26" s="19" t="str">
        <f t="shared" si="8"/>
        <v/>
      </c>
      <c r="M26" s="19" t="str">
        <f t="shared" si="9"/>
        <v/>
      </c>
    </row>
    <row r="27" spans="1:14">
      <c r="A27" s="4" t="str">
        <f>IF($B$7&gt;9,"10th PLACE","")</f>
        <v/>
      </c>
      <c r="B27" s="12" t="s">
        <v>21</v>
      </c>
      <c r="C27" s="13"/>
      <c r="D27" s="13"/>
      <c r="E27" s="13"/>
      <c r="F27" s="13"/>
      <c r="G27" s="13"/>
      <c r="H27" s="13"/>
      <c r="I27" s="13"/>
      <c r="J27" s="19" t="str">
        <f>IF($C$7=10,SUM($C$11),"")</f>
        <v/>
      </c>
      <c r="K27" s="19" t="str">
        <f>IF($C$7=K$16,FLOOR(SUM((RATE($C$7,$C$11,0,-$C$10)*K28)+K28),1),"")</f>
        <v/>
      </c>
      <c r="L27" s="19" t="str">
        <f t="shared" si="8"/>
        <v/>
      </c>
      <c r="M27" s="19" t="str">
        <f t="shared" si="9"/>
        <v/>
      </c>
    </row>
    <row r="28" spans="1:14">
      <c r="B28" s="12" t="s">
        <v>22</v>
      </c>
      <c r="C28" s="13"/>
      <c r="D28" s="13"/>
      <c r="E28" s="13"/>
      <c r="F28" s="13"/>
      <c r="G28" s="13"/>
      <c r="H28" s="13"/>
      <c r="I28" s="13"/>
      <c r="J28" s="13"/>
      <c r="K28" s="19" t="str">
        <f>IF($C$7=11,SUM($C$11),"")</f>
        <v/>
      </c>
      <c r="L28" s="19" t="str">
        <f>IF($C$7=L$16,FLOOR(SUM((RATE($C$7,$C$11,0,-$C$10)*L29)+L29),1),"")</f>
        <v/>
      </c>
      <c r="M28" s="19" t="str">
        <f t="shared" si="9"/>
        <v/>
      </c>
    </row>
    <row r="29" spans="1:14">
      <c r="B29" s="12" t="s">
        <v>34</v>
      </c>
      <c r="C29" s="13"/>
      <c r="D29" s="13"/>
      <c r="E29" s="13"/>
      <c r="F29" s="13"/>
      <c r="G29" s="13"/>
      <c r="H29" s="13"/>
      <c r="I29" s="13"/>
      <c r="J29" s="13"/>
      <c r="K29" s="13"/>
      <c r="L29" s="19" t="str">
        <f>IF($C$7=12,SUM($C$11),"")</f>
        <v/>
      </c>
      <c r="M29" s="19" t="str">
        <f>IF($C$7=M$16,FLOOR(SUM((RATE($C$7,$C$11,0,-$C$10)*M30)+M30),1),"")</f>
        <v/>
      </c>
    </row>
    <row r="30" spans="1:14" ht="18">
      <c r="B30" s="12" t="s">
        <v>35</v>
      </c>
      <c r="C30" s="16"/>
      <c r="D30" s="16"/>
      <c r="E30" s="16"/>
      <c r="F30" s="16"/>
      <c r="G30" s="16"/>
      <c r="H30" s="16"/>
      <c r="I30" s="16"/>
      <c r="J30" s="16"/>
      <c r="K30" s="16"/>
      <c r="L30" s="16"/>
      <c r="M30" s="26" t="str">
        <f>IF($C$7=13,SUM($C$11),"")</f>
        <v/>
      </c>
    </row>
    <row r="31" spans="1:14" s="8" customFormat="1">
      <c r="A31" s="8" t="str">
        <f>IF($B$7&gt;11,"12th PLACE","")</f>
        <v/>
      </c>
      <c r="B31" s="13"/>
      <c r="C31" s="27" t="str">
        <f>IF($C$7=C16,SUM(C18:C30),"")</f>
        <v/>
      </c>
      <c r="D31" s="27" t="str">
        <f t="shared" ref="D31:M31" si="10">IF($C$7=D16,SUM(D18:D30),"")</f>
        <v/>
      </c>
      <c r="E31" s="27" t="str">
        <f t="shared" si="10"/>
        <v/>
      </c>
      <c r="F31" s="27" t="str">
        <f t="shared" si="10"/>
        <v/>
      </c>
      <c r="G31" s="27">
        <f t="shared" si="10"/>
        <v>7001</v>
      </c>
      <c r="H31" s="27" t="str">
        <f t="shared" si="10"/>
        <v/>
      </c>
      <c r="I31" s="27" t="str">
        <f t="shared" si="10"/>
        <v/>
      </c>
      <c r="J31" s="27" t="str">
        <f t="shared" si="10"/>
        <v/>
      </c>
      <c r="K31" s="27" t="str">
        <f t="shared" si="10"/>
        <v/>
      </c>
      <c r="L31" s="27" t="str">
        <f t="shared" si="10"/>
        <v/>
      </c>
      <c r="M31" s="27" t="str">
        <f t="shared" si="10"/>
        <v/>
      </c>
    </row>
    <row r="32" spans="1:14" s="8" customFormat="1" ht="18">
      <c r="A32" s="8" t="str">
        <f>IF($B$7&gt;12,"13th PLACE","")</f>
        <v/>
      </c>
      <c r="B32" s="17"/>
      <c r="C32" s="26" t="str">
        <f>IF($C$7=C16,SUM($C$10),"")</f>
        <v/>
      </c>
      <c r="D32" s="26" t="str">
        <f t="shared" ref="D32:M32" si="11">IF($C$7=D16,SUM($C$10),"")</f>
        <v/>
      </c>
      <c r="E32" s="26" t="str">
        <f t="shared" si="11"/>
        <v/>
      </c>
      <c r="F32" s="26" t="str">
        <f t="shared" si="11"/>
        <v/>
      </c>
      <c r="G32" s="26">
        <f t="shared" si="11"/>
        <v>7030</v>
      </c>
      <c r="H32" s="26" t="str">
        <f t="shared" si="11"/>
        <v/>
      </c>
      <c r="I32" s="26" t="str">
        <f t="shared" si="11"/>
        <v/>
      </c>
      <c r="J32" s="26" t="str">
        <f t="shared" si="11"/>
        <v/>
      </c>
      <c r="K32" s="26" t="str">
        <f t="shared" si="11"/>
        <v/>
      </c>
      <c r="L32" s="26" t="str">
        <f t="shared" si="11"/>
        <v/>
      </c>
      <c r="M32" s="26" t="str">
        <f t="shared" si="11"/>
        <v/>
      </c>
    </row>
    <row r="33" spans="2:13" s="11" customFormat="1" ht="18">
      <c r="B33" s="18"/>
      <c r="C33" s="28" t="str">
        <f>IF($C$7=C16,SUM(C32-C31),"")</f>
        <v/>
      </c>
      <c r="D33" s="28" t="str">
        <f t="shared" ref="D33:M33" si="12">IF($C$7=D16,SUM(D32-D31),"")</f>
        <v/>
      </c>
      <c r="E33" s="28" t="str">
        <f t="shared" si="12"/>
        <v/>
      </c>
      <c r="F33" s="28" t="str">
        <f t="shared" si="12"/>
        <v/>
      </c>
      <c r="G33" s="28">
        <f t="shared" si="12"/>
        <v>29</v>
      </c>
      <c r="H33" s="28" t="str">
        <f t="shared" si="12"/>
        <v/>
      </c>
      <c r="I33" s="28" t="str">
        <f t="shared" si="12"/>
        <v/>
      </c>
      <c r="J33" s="28" t="str">
        <f t="shared" si="12"/>
        <v/>
      </c>
      <c r="K33" s="28" t="str">
        <f t="shared" si="12"/>
        <v/>
      </c>
      <c r="L33" s="28" t="str">
        <f t="shared" si="12"/>
        <v/>
      </c>
      <c r="M33" s="28" t="str">
        <f t="shared" si="12"/>
        <v/>
      </c>
    </row>
    <row r="34" spans="2:13">
      <c r="B34" s="7"/>
      <c r="C34" s="6"/>
    </row>
    <row r="35" spans="2:13">
      <c r="B35" s="7"/>
      <c r="C35" s="6"/>
    </row>
    <row r="36" spans="2:13">
      <c r="B36" s="7"/>
      <c r="C36" s="6"/>
    </row>
    <row r="37" spans="2:13">
      <c r="B37" s="7"/>
      <c r="C37" s="6"/>
    </row>
    <row r="38" spans="2:13">
      <c r="B38" s="7"/>
      <c r="C38" s="6"/>
    </row>
    <row r="40" spans="2:13">
      <c r="B40" s="7"/>
    </row>
  </sheetData>
  <sheetProtection select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P47"/>
  <sheetViews>
    <sheetView workbookViewId="0"/>
  </sheetViews>
  <sheetFormatPr defaultRowHeight="15.75"/>
  <cols>
    <col min="1" max="1" width="21.42578125" style="4" customWidth="1"/>
    <col min="2" max="2" width="10.85546875" style="5" bestFit="1" customWidth="1"/>
    <col min="3" max="13" width="9.7109375" style="4" customWidth="1"/>
    <col min="14" max="14" width="10.140625" style="4" bestFit="1" customWidth="1"/>
    <col min="15" max="16384" width="9.140625" style="4"/>
  </cols>
  <sheetData>
    <row r="1" spans="1:14" s="2" customFormat="1">
      <c r="B1" s="3"/>
    </row>
    <row r="2" spans="1:14">
      <c r="A2" s="4" t="s">
        <v>0</v>
      </c>
      <c r="C2" s="20">
        <v>41</v>
      </c>
      <c r="F2" s="6"/>
      <c r="G2" s="6"/>
      <c r="H2" s="6"/>
      <c r="I2" s="6"/>
      <c r="J2" s="6"/>
      <c r="K2" s="6"/>
      <c r="L2" s="6"/>
      <c r="M2" s="6"/>
      <c r="N2" s="6"/>
    </row>
    <row r="3" spans="1:14">
      <c r="A3" s="4" t="s">
        <v>9</v>
      </c>
      <c r="C3" s="22">
        <f>ROUNDDOWN(C2*0.05,0)</f>
        <v>2</v>
      </c>
      <c r="F3" s="6"/>
      <c r="G3" s="6"/>
      <c r="H3" s="6"/>
      <c r="I3" s="6"/>
      <c r="J3" s="6"/>
      <c r="K3" s="6"/>
      <c r="L3" s="6"/>
      <c r="M3" s="6"/>
      <c r="N3" s="6"/>
    </row>
    <row r="4" spans="1:14">
      <c r="A4" s="4" t="s">
        <v>1</v>
      </c>
      <c r="C4" s="21">
        <v>120</v>
      </c>
      <c r="F4" s="6"/>
      <c r="G4" s="6"/>
      <c r="H4" s="6"/>
      <c r="I4" s="6"/>
      <c r="J4" s="6"/>
      <c r="K4" s="6"/>
      <c r="L4" s="6"/>
      <c r="M4" s="6"/>
      <c r="N4" s="6"/>
    </row>
    <row r="5" spans="1:14">
      <c r="A5" s="4" t="s">
        <v>37</v>
      </c>
      <c r="C5" s="21">
        <v>20</v>
      </c>
      <c r="F5" s="6"/>
      <c r="G5" s="6"/>
      <c r="H5" s="6"/>
      <c r="I5" s="6"/>
      <c r="J5" s="6"/>
      <c r="K5" s="6"/>
      <c r="L5" s="6"/>
      <c r="M5" s="6"/>
      <c r="N5" s="6"/>
    </row>
    <row r="6" spans="1:14">
      <c r="A6" s="4" t="s">
        <v>11</v>
      </c>
      <c r="B6" s="7"/>
      <c r="C6" s="21">
        <v>10</v>
      </c>
      <c r="F6" s="6"/>
      <c r="G6" s="6"/>
      <c r="H6" s="6"/>
      <c r="I6" s="6"/>
      <c r="J6" s="6"/>
      <c r="K6" s="6"/>
      <c r="L6" s="6"/>
      <c r="M6" s="6"/>
      <c r="N6" s="6"/>
    </row>
    <row r="7" spans="1:14">
      <c r="A7" s="4" t="s">
        <v>10</v>
      </c>
      <c r="B7" s="7"/>
      <c r="C7" s="21">
        <v>0</v>
      </c>
      <c r="H7" s="6"/>
      <c r="I7" s="6"/>
      <c r="J7" s="6"/>
      <c r="K7" s="6"/>
      <c r="L7" s="6"/>
      <c r="M7" s="6"/>
      <c r="N7" s="6"/>
    </row>
    <row r="8" spans="1:14">
      <c r="A8" s="4" t="s">
        <v>43</v>
      </c>
      <c r="B8" s="7"/>
      <c r="C8" s="21">
        <v>0</v>
      </c>
      <c r="H8" s="6"/>
      <c r="I8" s="6"/>
      <c r="J8" s="6"/>
      <c r="K8" s="6"/>
      <c r="L8" s="6"/>
      <c r="M8" s="6"/>
      <c r="N8" s="6"/>
    </row>
    <row r="9" spans="1:14">
      <c r="A9" s="4" t="s">
        <v>42</v>
      </c>
      <c r="B9" s="7"/>
      <c r="C9" s="21">
        <v>0</v>
      </c>
      <c r="H9" s="6"/>
      <c r="I9" s="6"/>
      <c r="J9" s="6"/>
      <c r="K9" s="6"/>
      <c r="L9" s="6"/>
      <c r="M9" s="6"/>
      <c r="N9" s="6"/>
    </row>
    <row r="10" spans="1:14">
      <c r="B10" s="7"/>
      <c r="C10" s="17"/>
      <c r="I10" s="6"/>
      <c r="J10" s="6"/>
      <c r="K10" s="6"/>
      <c r="L10" s="6"/>
      <c r="M10" s="6"/>
      <c r="N10" s="6"/>
    </row>
    <row r="11" spans="1:14">
      <c r="A11" s="4" t="s">
        <v>2</v>
      </c>
      <c r="C11" s="23">
        <f>IF($C$2&lt;11,3,IF($C$2&lt;18,4,IF($C$2&lt;28,5,IF($C$2&lt;37,6,IF($C$2&lt;46,7,IF($C$2&lt;55,8,IF($C$2&lt;64,9,IF($C$2&lt;73,10,IF($C$2&lt;82,11,IF($C$2&lt;91,12,13))))))))))</f>
        <v>7</v>
      </c>
      <c r="J11" s="6"/>
      <c r="K11" s="6"/>
      <c r="L11" s="6"/>
      <c r="M11" s="6"/>
      <c r="N11" s="6"/>
    </row>
    <row r="12" spans="1:14">
      <c r="A12" s="4" t="s">
        <v>36</v>
      </c>
      <c r="B12" s="7"/>
      <c r="C12" s="19">
        <f>SUM(C2*C4)</f>
        <v>4920</v>
      </c>
      <c r="D12" s="63" t="s">
        <v>39</v>
      </c>
      <c r="E12" s="63"/>
      <c r="K12" s="6"/>
      <c r="L12" s="6"/>
      <c r="M12" s="6"/>
      <c r="N12" s="6"/>
    </row>
    <row r="13" spans="1:14">
      <c r="A13" s="4" t="s">
        <v>38</v>
      </c>
      <c r="B13" s="7"/>
      <c r="C13" s="19">
        <f>SUM(C2*C5)</f>
        <v>820</v>
      </c>
      <c r="D13" s="63" t="s">
        <v>46</v>
      </c>
      <c r="E13" s="63"/>
      <c r="K13" s="6"/>
      <c r="L13" s="6"/>
      <c r="M13" s="6"/>
      <c r="N13" s="6"/>
    </row>
    <row r="14" spans="1:14">
      <c r="A14" s="4" t="s">
        <v>4</v>
      </c>
      <c r="B14" s="7"/>
      <c r="C14" s="19">
        <f>SUM((C3*C7)+(C2*C6))</f>
        <v>410</v>
      </c>
      <c r="D14" s="63" t="s">
        <v>41</v>
      </c>
      <c r="E14" s="63"/>
      <c r="L14" s="6"/>
      <c r="M14" s="6"/>
      <c r="N14" s="6"/>
    </row>
    <row r="15" spans="1:14">
      <c r="A15" s="4" t="s">
        <v>40</v>
      </c>
      <c r="B15" s="7"/>
      <c r="C15" s="19">
        <f>SUM(C2*C8)</f>
        <v>0</v>
      </c>
      <c r="D15" s="63" t="s">
        <v>45</v>
      </c>
      <c r="E15" s="63"/>
      <c r="L15" s="6"/>
      <c r="M15" s="6"/>
      <c r="N15" s="6"/>
    </row>
    <row r="16" spans="1:14">
      <c r="A16" s="4" t="s">
        <v>44</v>
      </c>
      <c r="B16" s="7"/>
      <c r="C16" s="19">
        <f>SUM(C2*C9)</f>
        <v>0</v>
      </c>
      <c r="D16" s="63" t="s">
        <v>47</v>
      </c>
      <c r="E16" s="63"/>
      <c r="L16" s="6"/>
      <c r="M16" s="6"/>
      <c r="N16" s="6"/>
    </row>
    <row r="17" spans="1:16">
      <c r="A17" s="4" t="s">
        <v>5</v>
      </c>
      <c r="B17" s="7"/>
      <c r="C17" s="24">
        <f>SUM(C12-C13-C14-C15-C16)</f>
        <v>3690</v>
      </c>
      <c r="M17" s="6"/>
      <c r="N17" s="6"/>
    </row>
    <row r="18" spans="1:16">
      <c r="A18" s="4" t="s">
        <v>6</v>
      </c>
      <c r="B18" s="7"/>
      <c r="C18" s="21">
        <v>140</v>
      </c>
      <c r="N18" s="6"/>
    </row>
    <row r="19" spans="1:16">
      <c r="A19" s="4" t="s">
        <v>7</v>
      </c>
      <c r="C19" s="12"/>
    </row>
    <row r="20" spans="1:16">
      <c r="A20" s="9" t="s">
        <v>8</v>
      </c>
      <c r="B20" s="10"/>
      <c r="C20" s="25">
        <f>RATE($C$11,$C$18,0,-C17)</f>
        <v>0.43311750689261985</v>
      </c>
      <c r="F20" s="6"/>
      <c r="G20" s="6"/>
      <c r="H20" s="6"/>
      <c r="I20" s="6"/>
      <c r="J20" s="6"/>
      <c r="K20" s="6"/>
      <c r="L20" s="6"/>
      <c r="M20" s="6"/>
      <c r="N20" s="6"/>
    </row>
    <row r="21" spans="1:16">
      <c r="F21" s="6"/>
      <c r="G21" s="6"/>
      <c r="H21" s="6"/>
      <c r="I21" s="6"/>
      <c r="J21" s="6"/>
      <c r="K21" s="6"/>
      <c r="L21" s="6"/>
      <c r="M21" s="6"/>
      <c r="N21" s="6"/>
    </row>
    <row r="22" spans="1:16">
      <c r="F22" s="6"/>
      <c r="G22" s="6"/>
      <c r="H22" s="6"/>
      <c r="I22" s="6"/>
      <c r="J22" s="6"/>
      <c r="K22" s="6"/>
      <c r="L22" s="6"/>
      <c r="M22" s="6"/>
      <c r="N22" s="6"/>
    </row>
    <row r="23" spans="1:16">
      <c r="B23" s="12"/>
      <c r="C23" s="29">
        <v>3</v>
      </c>
      <c r="D23" s="29">
        <v>4</v>
      </c>
      <c r="E23" s="29">
        <v>5</v>
      </c>
      <c r="F23" s="29">
        <v>6</v>
      </c>
      <c r="G23" s="29">
        <v>7</v>
      </c>
      <c r="H23" s="29">
        <v>8</v>
      </c>
      <c r="I23" s="29">
        <v>9</v>
      </c>
      <c r="J23" s="29">
        <v>10</v>
      </c>
      <c r="K23" s="29">
        <v>11</v>
      </c>
      <c r="L23" s="29">
        <v>12</v>
      </c>
      <c r="M23" s="29">
        <v>13</v>
      </c>
    </row>
    <row r="24" spans="1:16" s="1" customFormat="1">
      <c r="B24" s="14"/>
      <c r="C24" s="15" t="s">
        <v>33</v>
      </c>
      <c r="D24" s="15" t="s">
        <v>23</v>
      </c>
      <c r="E24" s="15" t="s">
        <v>24</v>
      </c>
      <c r="F24" s="15" t="s">
        <v>25</v>
      </c>
      <c r="G24" s="15" t="s">
        <v>26</v>
      </c>
      <c r="H24" s="15" t="s">
        <v>27</v>
      </c>
      <c r="I24" s="15" t="s">
        <v>28</v>
      </c>
      <c r="J24" s="15" t="s">
        <v>29</v>
      </c>
      <c r="K24" s="15" t="s">
        <v>30</v>
      </c>
      <c r="L24" s="15" t="s">
        <v>31</v>
      </c>
      <c r="M24" s="15" t="s">
        <v>32</v>
      </c>
      <c r="N24" s="2"/>
    </row>
    <row r="25" spans="1:16">
      <c r="A25" s="30" t="str">
        <f>IF($C$11&gt;0,"1st PLACE","")</f>
        <v>1st PLACE</v>
      </c>
      <c r="B25" s="31">
        <f>MROUND(N25,20)</f>
        <v>1200</v>
      </c>
      <c r="C25" s="19" t="str">
        <f>IF($C$2&lt;11,SUM($C$17*0.55),"")</f>
        <v/>
      </c>
      <c r="D25" s="19" t="str">
        <f t="shared" ref="D25:M27" si="0">IF($C$11=D$23,FLOOR(SUM((RATE($C$11,$C$18,0,-$C$17)*D26)+D26),1),"")</f>
        <v/>
      </c>
      <c r="E25" s="19" t="str">
        <f t="shared" si="0"/>
        <v/>
      </c>
      <c r="F25" s="19" t="str">
        <f t="shared" si="0"/>
        <v/>
      </c>
      <c r="G25" s="19">
        <f t="shared" si="0"/>
        <v>1202</v>
      </c>
      <c r="H25" s="19" t="str">
        <f t="shared" si="0"/>
        <v/>
      </c>
      <c r="I25" s="19" t="str">
        <f t="shared" si="0"/>
        <v/>
      </c>
      <c r="J25" s="19" t="str">
        <f t="shared" si="0"/>
        <v/>
      </c>
      <c r="K25" s="19" t="str">
        <f t="shared" si="0"/>
        <v/>
      </c>
      <c r="L25" s="19" t="str">
        <f t="shared" si="0"/>
        <v/>
      </c>
      <c r="M25" s="19" t="str">
        <f t="shared" si="0"/>
        <v/>
      </c>
      <c r="N25" s="8">
        <f>SUM(C25:M25)</f>
        <v>1202</v>
      </c>
      <c r="O25" s="8">
        <f>SUM(MROUND(N25,20)+B40)</f>
        <v>1250</v>
      </c>
      <c r="P25" s="8"/>
    </row>
    <row r="26" spans="1:16">
      <c r="A26" s="30" t="str">
        <f>IF($C$11&gt;1,"2nd PLACE","")</f>
        <v>2nd PLACE</v>
      </c>
      <c r="B26" s="31">
        <f t="shared" ref="B26:B37" si="1">MROUND(N26,20)</f>
        <v>840</v>
      </c>
      <c r="C26" s="19" t="str">
        <f>IF($C$2&lt;11,SUM($C$17*0.3),"")</f>
        <v/>
      </c>
      <c r="D26" s="19" t="str">
        <f t="shared" si="0"/>
        <v/>
      </c>
      <c r="E26" s="19" t="str">
        <f t="shared" si="0"/>
        <v/>
      </c>
      <c r="F26" s="19" t="str">
        <f t="shared" si="0"/>
        <v/>
      </c>
      <c r="G26" s="19">
        <f t="shared" si="0"/>
        <v>839</v>
      </c>
      <c r="H26" s="19" t="str">
        <f t="shared" si="0"/>
        <v/>
      </c>
      <c r="I26" s="19" t="str">
        <f t="shared" si="0"/>
        <v/>
      </c>
      <c r="J26" s="19" t="str">
        <f t="shared" si="0"/>
        <v/>
      </c>
      <c r="K26" s="19" t="str">
        <f t="shared" si="0"/>
        <v/>
      </c>
      <c r="L26" s="19" t="str">
        <f t="shared" si="0"/>
        <v/>
      </c>
      <c r="M26" s="19" t="str">
        <f t="shared" si="0"/>
        <v/>
      </c>
      <c r="N26" s="8">
        <f t="shared" ref="N26:N37" si="2">SUM(C26:M26)</f>
        <v>839</v>
      </c>
      <c r="O26" s="4">
        <f t="shared" ref="O26:O37" si="3">MROUND(N26,20)</f>
        <v>840</v>
      </c>
    </row>
    <row r="27" spans="1:16">
      <c r="A27" s="30" t="str">
        <f>IF($C$11&gt;2,"3rd PLACE","")</f>
        <v>3rd PLACE</v>
      </c>
      <c r="B27" s="31">
        <f t="shared" si="1"/>
        <v>580</v>
      </c>
      <c r="C27" s="19" t="str">
        <f>IF($C$2&lt;11,SUM($C$17*0.15),"")</f>
        <v/>
      </c>
      <c r="D27" s="19" t="str">
        <f t="shared" si="0"/>
        <v/>
      </c>
      <c r="E27" s="19" t="str">
        <f t="shared" si="0"/>
        <v/>
      </c>
      <c r="F27" s="19" t="str">
        <f t="shared" si="0"/>
        <v/>
      </c>
      <c r="G27" s="19">
        <f t="shared" si="0"/>
        <v>586</v>
      </c>
      <c r="H27" s="19" t="str">
        <f t="shared" si="0"/>
        <v/>
      </c>
      <c r="I27" s="19" t="str">
        <f t="shared" si="0"/>
        <v/>
      </c>
      <c r="J27" s="19" t="str">
        <f t="shared" si="0"/>
        <v/>
      </c>
      <c r="K27" s="19" t="str">
        <f t="shared" si="0"/>
        <v/>
      </c>
      <c r="L27" s="19" t="str">
        <f t="shared" si="0"/>
        <v/>
      </c>
      <c r="M27" s="19" t="str">
        <f t="shared" si="0"/>
        <v/>
      </c>
      <c r="N27" s="8">
        <f t="shared" si="2"/>
        <v>586</v>
      </c>
      <c r="O27" s="4">
        <f t="shared" si="3"/>
        <v>580</v>
      </c>
    </row>
    <row r="28" spans="1:16">
      <c r="A28" s="30" t="str">
        <f>IF($C$11&gt;3,"4th PLACE","")</f>
        <v>4th PLACE</v>
      </c>
      <c r="B28" s="31">
        <f t="shared" si="1"/>
        <v>400</v>
      </c>
      <c r="C28" s="13"/>
      <c r="D28" s="19" t="str">
        <f>IF($C$11=4,SUM($C$18),"")</f>
        <v/>
      </c>
      <c r="E28" s="19" t="str">
        <f t="shared" ref="E28:M28" si="4">IF($C$11=E$23,FLOOR(SUM((RATE($C$11,$C$18,0,-$C$17)*E29)+E29),1),"")</f>
        <v/>
      </c>
      <c r="F28" s="19" t="str">
        <f t="shared" si="4"/>
        <v/>
      </c>
      <c r="G28" s="19">
        <f t="shared" si="4"/>
        <v>409</v>
      </c>
      <c r="H28" s="19" t="str">
        <f t="shared" si="4"/>
        <v/>
      </c>
      <c r="I28" s="19" t="str">
        <f t="shared" si="4"/>
        <v/>
      </c>
      <c r="J28" s="19" t="str">
        <f t="shared" si="4"/>
        <v/>
      </c>
      <c r="K28" s="19" t="str">
        <f t="shared" si="4"/>
        <v/>
      </c>
      <c r="L28" s="19" t="str">
        <f t="shared" si="4"/>
        <v/>
      </c>
      <c r="M28" s="19" t="str">
        <f t="shared" si="4"/>
        <v/>
      </c>
      <c r="N28" s="8">
        <f t="shared" si="2"/>
        <v>409</v>
      </c>
      <c r="O28" s="4">
        <f t="shared" si="3"/>
        <v>400</v>
      </c>
    </row>
    <row r="29" spans="1:16">
      <c r="A29" s="30" t="str">
        <f>IF($C$11&gt;4,"5th PLACE","")</f>
        <v>5th PLACE</v>
      </c>
      <c r="B29" s="31">
        <f t="shared" si="1"/>
        <v>280</v>
      </c>
      <c r="C29" s="13"/>
      <c r="D29" s="13"/>
      <c r="E29" s="19" t="str">
        <f>IF($C$11=5,SUM($C$18),"")</f>
        <v/>
      </c>
      <c r="F29" s="19" t="str">
        <f t="shared" ref="F29:M29" si="5">IF($C$11=F$23,FLOOR(SUM((RATE($C$11,$C$18,0,-$C$17)*F30)+F30),1),"")</f>
        <v/>
      </c>
      <c r="G29" s="19">
        <f t="shared" si="5"/>
        <v>286</v>
      </c>
      <c r="H29" s="19" t="str">
        <f t="shared" si="5"/>
        <v/>
      </c>
      <c r="I29" s="19" t="str">
        <f t="shared" si="5"/>
        <v/>
      </c>
      <c r="J29" s="19" t="str">
        <f t="shared" si="5"/>
        <v/>
      </c>
      <c r="K29" s="19" t="str">
        <f t="shared" si="5"/>
        <v/>
      </c>
      <c r="L29" s="19" t="str">
        <f t="shared" si="5"/>
        <v/>
      </c>
      <c r="M29" s="19" t="str">
        <f t="shared" si="5"/>
        <v/>
      </c>
      <c r="N29" s="8">
        <f t="shared" si="2"/>
        <v>286</v>
      </c>
      <c r="O29" s="4">
        <f t="shared" si="3"/>
        <v>280</v>
      </c>
    </row>
    <row r="30" spans="1:16">
      <c r="A30" s="30" t="str">
        <f>IF($C$11&gt;5,"6th PLACE","")</f>
        <v>6th PLACE</v>
      </c>
      <c r="B30" s="31">
        <f t="shared" si="1"/>
        <v>200</v>
      </c>
      <c r="C30" s="13"/>
      <c r="D30" s="13"/>
      <c r="E30" s="13"/>
      <c r="F30" s="19" t="str">
        <f>IF($C$11=6,SUM($C$18),"")</f>
        <v/>
      </c>
      <c r="G30" s="19">
        <f t="shared" ref="G30:M30" si="6">IF($C$11=G$23,FLOOR(SUM((RATE($C$11,$C$18,0,-$C$17)*G31)+G31),1),"")</f>
        <v>200</v>
      </c>
      <c r="H30" s="19" t="str">
        <f t="shared" si="6"/>
        <v/>
      </c>
      <c r="I30" s="19" t="str">
        <f t="shared" si="6"/>
        <v/>
      </c>
      <c r="J30" s="19" t="str">
        <f t="shared" si="6"/>
        <v/>
      </c>
      <c r="K30" s="19" t="str">
        <f t="shared" si="6"/>
        <v/>
      </c>
      <c r="L30" s="19" t="str">
        <f t="shared" si="6"/>
        <v/>
      </c>
      <c r="M30" s="19" t="str">
        <f t="shared" si="6"/>
        <v/>
      </c>
      <c r="N30" s="8">
        <f t="shared" si="2"/>
        <v>200</v>
      </c>
      <c r="O30" s="4">
        <f t="shared" si="3"/>
        <v>200</v>
      </c>
    </row>
    <row r="31" spans="1:16">
      <c r="A31" s="30" t="str">
        <f>IF($C$11&gt;6,"7th PLACE","")</f>
        <v>7th PLACE</v>
      </c>
      <c r="B31" s="31">
        <f t="shared" si="1"/>
        <v>140</v>
      </c>
      <c r="C31" s="13"/>
      <c r="D31" s="13"/>
      <c r="E31" s="13"/>
      <c r="F31" s="13"/>
      <c r="G31" s="19">
        <f>IF($C$11=7,SUM($C$18),"")</f>
        <v>140</v>
      </c>
      <c r="H31" s="19" t="str">
        <f t="shared" ref="H31:M31" si="7">IF($C$11=H$23,FLOOR(SUM((RATE($C$11,$C$18,0,-$C$17)*H32)+H32),1),"")</f>
        <v/>
      </c>
      <c r="I31" s="19" t="str">
        <f t="shared" si="7"/>
        <v/>
      </c>
      <c r="J31" s="19" t="str">
        <f t="shared" si="7"/>
        <v/>
      </c>
      <c r="K31" s="19" t="str">
        <f t="shared" si="7"/>
        <v/>
      </c>
      <c r="L31" s="19" t="str">
        <f t="shared" si="7"/>
        <v/>
      </c>
      <c r="M31" s="19" t="str">
        <f t="shared" si="7"/>
        <v/>
      </c>
      <c r="N31" s="8">
        <f t="shared" si="2"/>
        <v>140</v>
      </c>
      <c r="O31" s="4">
        <f t="shared" si="3"/>
        <v>140</v>
      </c>
    </row>
    <row r="32" spans="1:16">
      <c r="A32" s="9" t="str">
        <f>IF($C$11&gt;7,"8th PLACE","")</f>
        <v/>
      </c>
      <c r="B32" s="13">
        <f t="shared" si="1"/>
        <v>0</v>
      </c>
      <c r="C32" s="13"/>
      <c r="D32" s="13"/>
      <c r="E32" s="13"/>
      <c r="F32" s="13"/>
      <c r="G32" s="13"/>
      <c r="H32" s="19" t="str">
        <f>IF($C$11=8,SUM($C$18),"")</f>
        <v/>
      </c>
      <c r="I32" s="19" t="str">
        <f>IF($C$11=I$23,FLOOR(SUM((RATE($C$11,$C$18,0,-$C$17)*I33)+I33),1),"")</f>
        <v/>
      </c>
      <c r="J32" s="19" t="str">
        <f>IF($C$11=J$23,FLOOR(SUM((RATE($C$11,$C$18,0,-$C$17)*J33)+J33),1),"")</f>
        <v/>
      </c>
      <c r="K32" s="19" t="str">
        <f>IF($C$11=K$23,FLOOR(SUM((RATE($C$11,$C$18,0,-$C$17)*K33)+K33),1),"")</f>
        <v/>
      </c>
      <c r="L32" s="19" t="str">
        <f>IF($C$11=L$23,FLOOR(SUM((RATE($C$11,$C$18,0,-$C$17)*L33)+L33),1),"")</f>
        <v/>
      </c>
      <c r="M32" s="19" t="str">
        <f>IF($C$11=M$23,FLOOR(SUM((RATE($C$11,$C$18,0,-$C$17)*M33)+M33),1),"")</f>
        <v/>
      </c>
      <c r="N32" s="8">
        <f t="shared" si="2"/>
        <v>0</v>
      </c>
      <c r="O32" s="4">
        <f t="shared" si="3"/>
        <v>0</v>
      </c>
    </row>
    <row r="33" spans="1:15">
      <c r="A33" s="9" t="str">
        <f>IF($C$11&gt;8,"9th PLACE","")</f>
        <v/>
      </c>
      <c r="B33" s="13">
        <f t="shared" si="1"/>
        <v>0</v>
      </c>
      <c r="C33" s="13"/>
      <c r="D33" s="13"/>
      <c r="E33" s="13"/>
      <c r="F33" s="13"/>
      <c r="G33" s="13"/>
      <c r="H33" s="13"/>
      <c r="I33" s="19" t="str">
        <f>IF($C$11=9,SUM($C$18),"")</f>
        <v/>
      </c>
      <c r="J33" s="19" t="str">
        <f>IF($C$11=J$23,FLOOR(SUM((RATE($C$11,$C$18,0,-$C$17)*J34)+J34),1),"")</f>
        <v/>
      </c>
      <c r="K33" s="19" t="str">
        <f>IF($C$11=K$23,FLOOR(SUM((RATE($C$11,$C$18,0,-$C$17)*K34)+K34),1),"")</f>
        <v/>
      </c>
      <c r="L33" s="19" t="str">
        <f>IF($C$11=L$23,FLOOR(SUM((RATE($C$11,$C$18,0,-$C$17)*L34)+L34),1),"")</f>
        <v/>
      </c>
      <c r="M33" s="19" t="str">
        <f>IF($C$11=M$23,FLOOR(SUM((RATE($C$11,$C$18,0,-$C$17)*M34)+M34),1),"")</f>
        <v/>
      </c>
      <c r="N33" s="8">
        <f t="shared" si="2"/>
        <v>0</v>
      </c>
      <c r="O33" s="4">
        <f t="shared" si="3"/>
        <v>0</v>
      </c>
    </row>
    <row r="34" spans="1:15">
      <c r="A34" s="9" t="str">
        <f>IF($C$11&gt;9,"10th PLACE","")</f>
        <v/>
      </c>
      <c r="B34" s="13">
        <f t="shared" si="1"/>
        <v>0</v>
      </c>
      <c r="C34" s="13"/>
      <c r="D34" s="13"/>
      <c r="E34" s="13"/>
      <c r="F34" s="13"/>
      <c r="G34" s="13"/>
      <c r="H34" s="13"/>
      <c r="I34" s="13"/>
      <c r="J34" s="19" t="str">
        <f>IF($C$11=10,SUM($C$18),"")</f>
        <v/>
      </c>
      <c r="K34" s="19" t="str">
        <f>IF($C$11=K$23,FLOOR(SUM((RATE($C$11,$C$18,0,-$C$17)*K35)+K35),1),"")</f>
        <v/>
      </c>
      <c r="L34" s="19" t="str">
        <f>IF($C$11=L$23,FLOOR(SUM((RATE($C$11,$C$18,0,-$C$17)*L35)+L35),1),"")</f>
        <v/>
      </c>
      <c r="M34" s="19" t="str">
        <f>IF($C$11=M$23,FLOOR(SUM((RATE($C$11,$C$18,0,-$C$17)*M35)+M35),1),"")</f>
        <v/>
      </c>
      <c r="N34" s="8">
        <f t="shared" si="2"/>
        <v>0</v>
      </c>
      <c r="O34" s="4">
        <f t="shared" si="3"/>
        <v>0</v>
      </c>
    </row>
    <row r="35" spans="1:15">
      <c r="A35" s="9" t="str">
        <f>IF($C$11&gt;10,"11th PLACE","")</f>
        <v/>
      </c>
      <c r="B35" s="13">
        <f t="shared" si="1"/>
        <v>0</v>
      </c>
      <c r="C35" s="13"/>
      <c r="D35" s="13"/>
      <c r="E35" s="13"/>
      <c r="F35" s="13"/>
      <c r="G35" s="13"/>
      <c r="H35" s="13"/>
      <c r="I35" s="13"/>
      <c r="J35" s="13"/>
      <c r="K35" s="19" t="str">
        <f>IF($C$11=11,SUM($C$18),"")</f>
        <v/>
      </c>
      <c r="L35" s="19" t="str">
        <f>IF($C$11=L$23,FLOOR(SUM((RATE($C$11,$C$18,0,-$C$17)*L36)+L36),1),"")</f>
        <v/>
      </c>
      <c r="M35" s="19" t="str">
        <f>IF($C$11=M$23,FLOOR(SUM((RATE($C$11,$C$18,0,-$C$17)*M36)+M36),1),"")</f>
        <v/>
      </c>
      <c r="N35" s="8">
        <f t="shared" si="2"/>
        <v>0</v>
      </c>
      <c r="O35" s="4">
        <f t="shared" si="3"/>
        <v>0</v>
      </c>
    </row>
    <row r="36" spans="1:15">
      <c r="A36" s="9" t="str">
        <f>IF($C$11&gt;11,"12th PLACE","")</f>
        <v/>
      </c>
      <c r="B36" s="13">
        <f t="shared" si="1"/>
        <v>0</v>
      </c>
      <c r="C36" s="13"/>
      <c r="D36" s="13"/>
      <c r="E36" s="13"/>
      <c r="F36" s="13"/>
      <c r="G36" s="13"/>
      <c r="H36" s="13"/>
      <c r="I36" s="13"/>
      <c r="J36" s="13"/>
      <c r="K36" s="13"/>
      <c r="L36" s="19" t="str">
        <f>IF($C$11=12,SUM($C$18),"")</f>
        <v/>
      </c>
      <c r="M36" s="19" t="str">
        <f>IF($C$11=M$23,FLOOR(SUM((RATE($C$11,$C$18,0,-$C$17)*M37)+M37),1),"")</f>
        <v/>
      </c>
      <c r="N36" s="8">
        <f t="shared" si="2"/>
        <v>0</v>
      </c>
      <c r="O36" s="4">
        <f t="shared" si="3"/>
        <v>0</v>
      </c>
    </row>
    <row r="37" spans="1:15" ht="18">
      <c r="A37" s="9" t="str">
        <f>IF($C$11&gt;12,"13th PLACE","")</f>
        <v/>
      </c>
      <c r="B37" s="13">
        <f t="shared" si="1"/>
        <v>0</v>
      </c>
      <c r="C37" s="16"/>
      <c r="D37" s="16"/>
      <c r="E37" s="16"/>
      <c r="F37" s="16"/>
      <c r="G37" s="16"/>
      <c r="H37" s="16"/>
      <c r="I37" s="16"/>
      <c r="J37" s="16"/>
      <c r="K37" s="16"/>
      <c r="L37" s="16"/>
      <c r="M37" s="26" t="str">
        <f>IF($C$11=13,SUM($C$18),"")</f>
        <v/>
      </c>
      <c r="N37" s="8">
        <f t="shared" si="2"/>
        <v>0</v>
      </c>
      <c r="O37" s="4">
        <f t="shared" si="3"/>
        <v>0</v>
      </c>
    </row>
    <row r="38" spans="1:15" s="8" customFormat="1">
      <c r="A38" s="8" t="str">
        <f>IF($B$11&gt;11,"12th PLACE","")</f>
        <v/>
      </c>
      <c r="B38" s="13">
        <f>SUM(B25:B37)</f>
        <v>3640</v>
      </c>
      <c r="C38" s="27" t="str">
        <f>IF($C$11=C23,SUM(C25:C37),"")</f>
        <v/>
      </c>
      <c r="D38" s="27" t="str">
        <f t="shared" ref="D38:M38" si="8">IF($C$11=D23,SUM(D25:D37),"")</f>
        <v/>
      </c>
      <c r="E38" s="27" t="str">
        <f t="shared" si="8"/>
        <v/>
      </c>
      <c r="F38" s="27" t="str">
        <f t="shared" si="8"/>
        <v/>
      </c>
      <c r="G38" s="27">
        <f t="shared" si="8"/>
        <v>3662</v>
      </c>
      <c r="H38" s="27" t="str">
        <f t="shared" si="8"/>
        <v/>
      </c>
      <c r="I38" s="27" t="str">
        <f t="shared" si="8"/>
        <v/>
      </c>
      <c r="J38" s="27" t="str">
        <f t="shared" si="8"/>
        <v/>
      </c>
      <c r="K38" s="27" t="str">
        <f t="shared" si="8"/>
        <v/>
      </c>
      <c r="L38" s="27" t="str">
        <f t="shared" si="8"/>
        <v/>
      </c>
      <c r="M38" s="27" t="str">
        <f t="shared" si="8"/>
        <v/>
      </c>
    </row>
    <row r="39" spans="1:15" s="8" customFormat="1" ht="18">
      <c r="A39" s="8" t="str">
        <f>IF($B$11&gt;12,"13th PLACE","")</f>
        <v/>
      </c>
      <c r="B39" s="17">
        <f>SUM(C17)</f>
        <v>3690</v>
      </c>
      <c r="C39" s="26" t="str">
        <f>IF($C$11=C23,SUM($C$17),"")</f>
        <v/>
      </c>
      <c r="D39" s="26" t="str">
        <f t="shared" ref="D39:M39" si="9">IF($C$11=D23,SUM($C$17),"")</f>
        <v/>
      </c>
      <c r="E39" s="26" t="str">
        <f t="shared" si="9"/>
        <v/>
      </c>
      <c r="F39" s="26" t="str">
        <f t="shared" si="9"/>
        <v/>
      </c>
      <c r="G39" s="26">
        <f t="shared" si="9"/>
        <v>3690</v>
      </c>
      <c r="H39" s="26" t="str">
        <f t="shared" si="9"/>
        <v/>
      </c>
      <c r="I39" s="26" t="str">
        <f t="shared" si="9"/>
        <v/>
      </c>
      <c r="J39" s="26" t="str">
        <f t="shared" si="9"/>
        <v/>
      </c>
      <c r="K39" s="26" t="str">
        <f t="shared" si="9"/>
        <v/>
      </c>
      <c r="L39" s="26" t="str">
        <f t="shared" si="9"/>
        <v/>
      </c>
      <c r="M39" s="26" t="str">
        <f t="shared" si="9"/>
        <v/>
      </c>
    </row>
    <row r="40" spans="1:15" s="11" customFormat="1" ht="18">
      <c r="B40" s="18">
        <f>SUM(B39-B38)</f>
        <v>50</v>
      </c>
      <c r="C40" s="28" t="str">
        <f>IF($C$11=C23,SUM(C39-C38),"")</f>
        <v/>
      </c>
      <c r="D40" s="28" t="str">
        <f t="shared" ref="D40:M40" si="10">IF($C$11=D23,SUM(D39-D38),"")</f>
        <v/>
      </c>
      <c r="E40" s="28" t="str">
        <f t="shared" si="10"/>
        <v/>
      </c>
      <c r="F40" s="28" t="str">
        <f t="shared" si="10"/>
        <v/>
      </c>
      <c r="G40" s="28">
        <f t="shared" si="10"/>
        <v>28</v>
      </c>
      <c r="H40" s="28" t="str">
        <f t="shared" si="10"/>
        <v/>
      </c>
      <c r="I40" s="28" t="str">
        <f t="shared" si="10"/>
        <v/>
      </c>
      <c r="J40" s="28" t="str">
        <f t="shared" si="10"/>
        <v/>
      </c>
      <c r="K40" s="28" t="str">
        <f t="shared" si="10"/>
        <v/>
      </c>
      <c r="L40" s="28" t="str">
        <f t="shared" si="10"/>
        <v/>
      </c>
      <c r="M40" s="28" t="str">
        <f t="shared" si="10"/>
        <v/>
      </c>
    </row>
    <row r="41" spans="1:15">
      <c r="B41" s="7"/>
      <c r="C41" s="6"/>
    </row>
    <row r="42" spans="1:15">
      <c r="B42" s="7"/>
      <c r="C42" s="6"/>
    </row>
    <row r="43" spans="1:15">
      <c r="B43" s="7"/>
      <c r="C43" s="6"/>
    </row>
    <row r="44" spans="1:15">
      <c r="B44" s="7"/>
      <c r="C44" s="6"/>
    </row>
    <row r="45" spans="1:15">
      <c r="B45" s="7"/>
      <c r="C45" s="6"/>
    </row>
    <row r="47" spans="1:15">
      <c r="B47" s="7"/>
    </row>
  </sheetData>
  <mergeCells count="5">
    <mergeCell ref="D15:E15"/>
    <mergeCell ref="D14:E14"/>
    <mergeCell ref="D13:E13"/>
    <mergeCell ref="D12:E12"/>
    <mergeCell ref="D16: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85" zoomScaleNormal="85" workbookViewId="0"/>
  </sheetViews>
  <sheetFormatPr defaultRowHeight="15.75"/>
  <cols>
    <col min="1" max="1" width="23.7109375" style="4" customWidth="1"/>
    <col min="2" max="2" width="10.85546875" style="5" bestFit="1" customWidth="1"/>
    <col min="3" max="13" width="9.7109375" style="4" customWidth="1"/>
    <col min="14" max="14" width="10.140625" style="4" bestFit="1" customWidth="1"/>
    <col min="15" max="15" width="10.28515625" style="4" bestFit="1" customWidth="1"/>
    <col min="16" max="16" width="10.7109375" style="4" bestFit="1" customWidth="1"/>
    <col min="17" max="16384" width="9.140625" style="4"/>
  </cols>
  <sheetData>
    <row r="1" spans="1:18" s="2" customFormat="1">
      <c r="B1" s="3"/>
      <c r="R1" s="35"/>
    </row>
    <row r="2" spans="1:18">
      <c r="A2" s="35" t="s">
        <v>0</v>
      </c>
      <c r="C2" s="20">
        <v>65</v>
      </c>
      <c r="D2" s="64" t="s">
        <v>59</v>
      </c>
      <c r="E2" s="64"/>
      <c r="F2" s="64"/>
      <c r="G2" s="64"/>
      <c r="H2" s="64"/>
      <c r="I2" s="64"/>
      <c r="J2" s="64"/>
      <c r="K2" s="64"/>
      <c r="L2" s="64"/>
      <c r="M2" s="64"/>
      <c r="N2" s="64"/>
      <c r="O2" s="64"/>
      <c r="P2" s="64"/>
    </row>
    <row r="3" spans="1:18">
      <c r="A3" s="35" t="s">
        <v>9</v>
      </c>
      <c r="C3" s="22">
        <f>ROUNDDOWN(C2*0.05,0)</f>
        <v>3</v>
      </c>
      <c r="D3" s="65" t="s">
        <v>72</v>
      </c>
      <c r="E3" s="65"/>
      <c r="F3" s="65"/>
      <c r="G3" s="65"/>
      <c r="H3" s="65"/>
      <c r="I3" s="65"/>
      <c r="J3" s="65"/>
      <c r="K3" s="65"/>
      <c r="L3" s="65"/>
      <c r="M3" s="65"/>
      <c r="N3" s="65"/>
      <c r="O3" s="65"/>
      <c r="P3" s="65"/>
    </row>
    <row r="4" spans="1:18">
      <c r="A4" s="35" t="s">
        <v>1</v>
      </c>
      <c r="C4" s="21">
        <v>120</v>
      </c>
      <c r="D4" s="64" t="s">
        <v>60</v>
      </c>
      <c r="E4" s="64"/>
      <c r="F4" s="64"/>
      <c r="G4" s="64"/>
      <c r="H4" s="64"/>
      <c r="I4" s="64"/>
      <c r="J4" s="64"/>
      <c r="K4" s="64"/>
      <c r="L4" s="64"/>
      <c r="M4" s="64"/>
      <c r="N4" s="64"/>
      <c r="O4" s="64"/>
      <c r="P4" s="64"/>
    </row>
    <row r="5" spans="1:18">
      <c r="A5" s="35" t="s">
        <v>37</v>
      </c>
      <c r="C5" s="21">
        <v>20</v>
      </c>
      <c r="D5" s="64" t="s">
        <v>68</v>
      </c>
      <c r="E5" s="64"/>
      <c r="F5" s="64"/>
      <c r="G5" s="64"/>
      <c r="H5" s="64"/>
      <c r="I5" s="64"/>
      <c r="J5" s="64"/>
      <c r="K5" s="64"/>
      <c r="L5" s="64"/>
      <c r="M5" s="64"/>
      <c r="N5" s="64"/>
      <c r="O5" s="64"/>
      <c r="P5" s="64"/>
    </row>
    <row r="6" spans="1:18">
      <c r="A6" s="35" t="s">
        <v>11</v>
      </c>
      <c r="B6" s="7"/>
      <c r="C6" s="21">
        <v>10</v>
      </c>
      <c r="D6" s="64" t="s">
        <v>61</v>
      </c>
      <c r="E6" s="64"/>
      <c r="F6" s="64"/>
      <c r="G6" s="64"/>
      <c r="H6" s="64"/>
      <c r="I6" s="64"/>
      <c r="J6" s="64"/>
      <c r="K6" s="64"/>
      <c r="L6" s="64"/>
      <c r="M6" s="64"/>
      <c r="N6" s="64"/>
      <c r="O6" s="64"/>
      <c r="P6" s="64"/>
    </row>
    <row r="7" spans="1:18">
      <c r="A7" s="35" t="s">
        <v>10</v>
      </c>
      <c r="B7" s="7"/>
      <c r="C7" s="21">
        <v>0</v>
      </c>
      <c r="D7" s="64" t="s">
        <v>62</v>
      </c>
      <c r="E7" s="64"/>
      <c r="F7" s="64"/>
      <c r="G7" s="64"/>
      <c r="H7" s="64"/>
      <c r="I7" s="64"/>
      <c r="J7" s="64"/>
      <c r="K7" s="64"/>
      <c r="L7" s="64"/>
      <c r="M7" s="64"/>
      <c r="N7" s="64"/>
      <c r="O7" s="64"/>
      <c r="P7" s="64"/>
    </row>
    <row r="8" spans="1:18">
      <c r="A8" s="35" t="s">
        <v>43</v>
      </c>
      <c r="B8" s="7"/>
      <c r="C8" s="21">
        <v>0</v>
      </c>
      <c r="D8" s="64" t="s">
        <v>63</v>
      </c>
      <c r="E8" s="64"/>
      <c r="F8" s="64"/>
      <c r="G8" s="64"/>
      <c r="H8" s="64"/>
      <c r="I8" s="64"/>
      <c r="J8" s="64"/>
      <c r="K8" s="64"/>
      <c r="L8" s="64"/>
      <c r="M8" s="64"/>
      <c r="N8" s="64"/>
      <c r="O8" s="64"/>
      <c r="P8" s="64"/>
    </row>
    <row r="9" spans="1:18">
      <c r="A9" s="35" t="s">
        <v>42</v>
      </c>
      <c r="B9" s="7"/>
      <c r="C9" s="21">
        <v>0</v>
      </c>
      <c r="D9" s="64" t="s">
        <v>64</v>
      </c>
      <c r="E9" s="64"/>
      <c r="F9" s="64"/>
      <c r="G9" s="64"/>
      <c r="H9" s="64"/>
      <c r="I9" s="64"/>
      <c r="J9" s="64"/>
      <c r="K9" s="64"/>
      <c r="L9" s="64"/>
      <c r="M9" s="64"/>
      <c r="N9" s="64"/>
      <c r="O9" s="64"/>
      <c r="P9" s="64"/>
    </row>
    <row r="10" spans="1:18">
      <c r="A10" s="35"/>
      <c r="B10" s="7"/>
      <c r="C10" s="17"/>
      <c r="I10" s="6"/>
      <c r="J10" s="6"/>
      <c r="K10" s="6"/>
      <c r="L10" s="6"/>
      <c r="M10" s="6"/>
      <c r="N10" s="6"/>
    </row>
    <row r="11" spans="1:18">
      <c r="A11" s="35" t="s">
        <v>2</v>
      </c>
      <c r="C11" s="23">
        <f>IF($C$2&lt;16,3,IF($C$2&lt;29,4,IF($C$2&lt;44,5,IF($C$2&lt;61,6,IF($C$2&lt;71,7,IF($C$2&lt;81,8,IF($C$2&lt;91,9,IF($C$2&lt;101,10,IF($C$2&lt;111,11,IF($C$2&lt;121,12,13))))))))))</f>
        <v>7</v>
      </c>
      <c r="D11" s="65" t="s">
        <v>66</v>
      </c>
      <c r="E11" s="65"/>
      <c r="F11" s="65"/>
      <c r="G11" s="65"/>
      <c r="H11" s="65"/>
      <c r="I11" s="65"/>
      <c r="J11" s="65"/>
      <c r="K11" s="65"/>
      <c r="L11" s="65"/>
      <c r="M11" s="65"/>
      <c r="N11" s="65"/>
      <c r="O11" s="65"/>
      <c r="P11" s="65"/>
    </row>
    <row r="12" spans="1:18">
      <c r="A12" s="35" t="s">
        <v>36</v>
      </c>
      <c r="B12" s="7"/>
      <c r="C12" s="19">
        <f>SUM(C2*C4)</f>
        <v>7800</v>
      </c>
      <c r="D12" s="65" t="s">
        <v>70</v>
      </c>
      <c r="E12" s="65"/>
      <c r="F12" s="65"/>
      <c r="G12" s="65"/>
      <c r="H12" s="65"/>
      <c r="I12" s="65"/>
      <c r="J12" s="65"/>
      <c r="K12" s="65"/>
      <c r="L12" s="65"/>
      <c r="M12" s="65"/>
      <c r="N12" s="65"/>
      <c r="O12" s="65"/>
      <c r="P12" s="65"/>
    </row>
    <row r="13" spans="1:18">
      <c r="A13" s="35" t="s">
        <v>38</v>
      </c>
      <c r="B13" s="7"/>
      <c r="C13" s="19">
        <f>SUM(C2*C5)</f>
        <v>1300</v>
      </c>
      <c r="D13" s="65" t="s">
        <v>67</v>
      </c>
      <c r="E13" s="65"/>
      <c r="F13" s="65"/>
      <c r="G13" s="65"/>
      <c r="H13" s="65"/>
      <c r="I13" s="65"/>
      <c r="J13" s="65"/>
      <c r="K13" s="65"/>
      <c r="L13" s="65"/>
      <c r="M13" s="65"/>
      <c r="N13" s="65"/>
      <c r="O13" s="65"/>
      <c r="P13" s="65"/>
    </row>
    <row r="14" spans="1:18">
      <c r="A14" s="35" t="s">
        <v>4</v>
      </c>
      <c r="B14" s="7"/>
      <c r="C14" s="19">
        <f>SUM((C3*C7)+(C2*C6))</f>
        <v>650</v>
      </c>
      <c r="D14" s="65" t="s">
        <v>69</v>
      </c>
      <c r="E14" s="65"/>
      <c r="F14" s="65"/>
      <c r="G14" s="65"/>
      <c r="H14" s="65"/>
      <c r="I14" s="65"/>
      <c r="J14" s="65"/>
      <c r="K14" s="65"/>
      <c r="L14" s="65"/>
      <c r="M14" s="65"/>
      <c r="N14" s="65"/>
      <c r="O14" s="65"/>
      <c r="P14" s="65"/>
    </row>
    <row r="15" spans="1:18">
      <c r="A15" s="35" t="s">
        <v>5</v>
      </c>
      <c r="B15" s="7"/>
      <c r="C15" s="24">
        <f>SUM(C12-C13-C14-C8-C9)</f>
        <v>5850</v>
      </c>
      <c r="D15" s="69" t="s">
        <v>65</v>
      </c>
      <c r="E15" s="65"/>
      <c r="F15" s="65"/>
      <c r="G15" s="65"/>
      <c r="H15" s="65"/>
      <c r="I15" s="65"/>
      <c r="J15" s="65"/>
      <c r="K15" s="65"/>
      <c r="L15" s="65"/>
      <c r="M15" s="65"/>
      <c r="N15" s="65"/>
      <c r="O15" s="65"/>
      <c r="P15" s="65"/>
    </row>
    <row r="16" spans="1:18">
      <c r="A16" s="35" t="s">
        <v>6</v>
      </c>
      <c r="B16" s="7"/>
      <c r="C16" s="21">
        <v>200</v>
      </c>
      <c r="D16" s="64" t="s">
        <v>71</v>
      </c>
      <c r="E16" s="64"/>
      <c r="F16" s="64"/>
      <c r="G16" s="64"/>
      <c r="H16" s="64"/>
      <c r="I16" s="64"/>
      <c r="J16" s="64"/>
      <c r="K16" s="64"/>
      <c r="L16" s="64"/>
      <c r="M16" s="64"/>
      <c r="N16" s="64"/>
      <c r="O16" s="64"/>
      <c r="P16" s="64"/>
    </row>
    <row r="17" spans="1:16">
      <c r="A17" s="61" t="s">
        <v>84</v>
      </c>
      <c r="B17" s="68"/>
      <c r="C17" s="67">
        <f>RATE($C$11,$C$16,0,-C15)</f>
        <v>0.46792524629062632</v>
      </c>
      <c r="D17" s="66" t="s">
        <v>73</v>
      </c>
      <c r="E17" s="66"/>
      <c r="F17" s="66"/>
      <c r="G17" s="66"/>
      <c r="H17" s="66"/>
      <c r="I17" s="66"/>
      <c r="J17" s="66"/>
      <c r="K17" s="66"/>
      <c r="L17" s="66"/>
      <c r="M17" s="66"/>
      <c r="N17" s="66"/>
      <c r="O17" s="66"/>
      <c r="P17" s="66"/>
    </row>
    <row r="18" spans="1:16" ht="30.75" customHeight="1">
      <c r="A18" s="61"/>
      <c r="B18" s="68"/>
      <c r="C18" s="67"/>
      <c r="D18" s="66"/>
      <c r="E18" s="66"/>
      <c r="F18" s="66"/>
      <c r="G18" s="66"/>
      <c r="H18" s="66"/>
      <c r="I18" s="66"/>
      <c r="J18" s="66"/>
      <c r="K18" s="66"/>
      <c r="L18" s="66"/>
      <c r="M18" s="66"/>
      <c r="N18" s="66"/>
      <c r="O18" s="66"/>
      <c r="P18" s="66"/>
    </row>
    <row r="19" spans="1:16">
      <c r="F19" s="6"/>
      <c r="G19" s="6"/>
      <c r="H19" s="6"/>
      <c r="I19" s="6"/>
      <c r="J19" s="6"/>
      <c r="K19" s="6"/>
      <c r="L19" s="6"/>
      <c r="M19" s="6"/>
      <c r="N19" s="39"/>
      <c r="O19" s="36" t="s">
        <v>77</v>
      </c>
      <c r="P19" s="44" t="s">
        <v>80</v>
      </c>
    </row>
    <row r="20" spans="1:16">
      <c r="C20" s="1"/>
      <c r="D20" s="1"/>
      <c r="E20" s="1"/>
      <c r="F20" s="33"/>
      <c r="G20" s="33"/>
      <c r="H20" s="33"/>
      <c r="I20" s="33"/>
      <c r="J20" s="33"/>
      <c r="K20" s="33"/>
      <c r="L20" s="33"/>
      <c r="M20" s="33"/>
      <c r="N20" s="36" t="s">
        <v>75</v>
      </c>
      <c r="O20" s="36" t="s">
        <v>78</v>
      </c>
      <c r="P20" s="44" t="s">
        <v>81</v>
      </c>
    </row>
    <row r="21" spans="1:16">
      <c r="B21" s="12"/>
      <c r="C21" s="29">
        <v>3</v>
      </c>
      <c r="D21" s="29">
        <v>4</v>
      </c>
      <c r="E21" s="29">
        <v>5</v>
      </c>
      <c r="F21" s="29">
        <v>6</v>
      </c>
      <c r="G21" s="29">
        <v>7</v>
      </c>
      <c r="H21" s="29">
        <v>8</v>
      </c>
      <c r="I21" s="29">
        <v>9</v>
      </c>
      <c r="J21" s="29">
        <v>10</v>
      </c>
      <c r="K21" s="29">
        <v>11</v>
      </c>
      <c r="L21" s="29">
        <v>12</v>
      </c>
      <c r="M21" s="29">
        <v>13</v>
      </c>
      <c r="N21" s="40" t="s">
        <v>76</v>
      </c>
      <c r="O21" s="36" t="s">
        <v>79</v>
      </c>
      <c r="P21" s="44" t="s">
        <v>82</v>
      </c>
    </row>
    <row r="22" spans="1:16" s="1" customFormat="1">
      <c r="B22" s="14"/>
      <c r="C22" s="41" t="s">
        <v>49</v>
      </c>
      <c r="D22" s="41" t="s">
        <v>50</v>
      </c>
      <c r="E22" s="41" t="s">
        <v>51</v>
      </c>
      <c r="F22" s="41" t="s">
        <v>52</v>
      </c>
      <c r="G22" s="41" t="s">
        <v>53</v>
      </c>
      <c r="H22" s="41" t="s">
        <v>54</v>
      </c>
      <c r="I22" s="41" t="s">
        <v>48</v>
      </c>
      <c r="J22" s="41" t="s">
        <v>55</v>
      </c>
      <c r="K22" s="41" t="s">
        <v>56</v>
      </c>
      <c r="L22" s="41" t="s">
        <v>57</v>
      </c>
      <c r="M22" s="41" t="s">
        <v>58</v>
      </c>
      <c r="N22" s="42"/>
      <c r="O22" s="43">
        <v>20</v>
      </c>
      <c r="P22" s="45" t="s">
        <v>83</v>
      </c>
    </row>
    <row r="23" spans="1:16">
      <c r="A23" s="30" t="str">
        <f>IF($C$11&gt;0,"1st PLACE","")</f>
        <v>1st PLACE</v>
      </c>
      <c r="B23" s="31">
        <f>MROUND(N23,20)</f>
        <v>2000</v>
      </c>
      <c r="C23" s="19" t="str">
        <f>IF($C$2&lt;16,SUM($C$15*0.55),"")</f>
        <v/>
      </c>
      <c r="D23" s="19" t="str">
        <f t="shared" ref="D23:M25" si="0">IF($C$11=D$21,FLOOR(SUM((RATE($C$11,$C$16,0,-$C$15)*D24)+D24),1),"")</f>
        <v/>
      </c>
      <c r="E23" s="19" t="str">
        <f t="shared" si="0"/>
        <v/>
      </c>
      <c r="F23" s="19" t="str">
        <f t="shared" si="0"/>
        <v/>
      </c>
      <c r="G23" s="19">
        <f t="shared" si="0"/>
        <v>1994</v>
      </c>
      <c r="H23" s="19" t="str">
        <f t="shared" si="0"/>
        <v/>
      </c>
      <c r="I23" s="19" t="str">
        <f t="shared" si="0"/>
        <v/>
      </c>
      <c r="J23" s="19" t="str">
        <f t="shared" si="0"/>
        <v/>
      </c>
      <c r="K23" s="19" t="str">
        <f t="shared" si="0"/>
        <v/>
      </c>
      <c r="L23" s="19" t="str">
        <f t="shared" si="0"/>
        <v/>
      </c>
      <c r="M23" s="19" t="str">
        <f t="shared" si="0"/>
        <v/>
      </c>
      <c r="N23" s="8">
        <f>SUM(C23:M23)</f>
        <v>1994</v>
      </c>
      <c r="O23" s="46">
        <f>SUM(MROUND(N23,20)+B38)</f>
        <v>1990</v>
      </c>
      <c r="P23" s="32">
        <f>SUM(O23/$C$15)</f>
        <v>0.34017094017094018</v>
      </c>
    </row>
    <row r="24" spans="1:16">
      <c r="A24" s="30" t="str">
        <f>IF($C$11&gt;1,"2nd PLACE","")</f>
        <v>2nd PLACE</v>
      </c>
      <c r="B24" s="31">
        <f t="shared" ref="B24:B35" si="1">MROUND(N24,20)</f>
        <v>1360</v>
      </c>
      <c r="C24" s="19" t="str">
        <f>IF($C$2&lt;16,SUM($C$15*0.3),"")</f>
        <v/>
      </c>
      <c r="D24" s="19" t="str">
        <f t="shared" si="0"/>
        <v/>
      </c>
      <c r="E24" s="19" t="str">
        <f t="shared" si="0"/>
        <v/>
      </c>
      <c r="F24" s="19" t="str">
        <f t="shared" si="0"/>
        <v/>
      </c>
      <c r="G24" s="19">
        <f t="shared" si="0"/>
        <v>1359</v>
      </c>
      <c r="H24" s="19" t="str">
        <f t="shared" si="0"/>
        <v/>
      </c>
      <c r="I24" s="19" t="str">
        <f t="shared" si="0"/>
        <v/>
      </c>
      <c r="J24" s="19" t="str">
        <f t="shared" si="0"/>
        <v/>
      </c>
      <c r="K24" s="19" t="str">
        <f t="shared" si="0"/>
        <v/>
      </c>
      <c r="L24" s="19" t="str">
        <f t="shared" si="0"/>
        <v/>
      </c>
      <c r="M24" s="19" t="str">
        <f t="shared" si="0"/>
        <v/>
      </c>
      <c r="N24" s="8">
        <f t="shared" ref="N24:N35" si="2">SUM(C24:M24)</f>
        <v>1359</v>
      </c>
      <c r="O24" s="35">
        <f t="shared" ref="O24:O35" si="3">MROUND(N24,20)</f>
        <v>1360</v>
      </c>
      <c r="P24" s="32">
        <f t="shared" ref="P24:P35" si="4">SUM(O24/$C$15)</f>
        <v>0.23247863247863249</v>
      </c>
    </row>
    <row r="25" spans="1:16">
      <c r="A25" s="30" t="str">
        <f>IF($C$11&gt;2,"3rd PLACE","")</f>
        <v>3rd PLACE</v>
      </c>
      <c r="B25" s="31">
        <f t="shared" si="1"/>
        <v>920</v>
      </c>
      <c r="C25" s="19" t="str">
        <f>IF($C$2&lt;16,SUM($C$15*0.15),"")</f>
        <v/>
      </c>
      <c r="D25" s="19" t="str">
        <f t="shared" si="0"/>
        <v/>
      </c>
      <c r="E25" s="19" t="str">
        <f t="shared" si="0"/>
        <v/>
      </c>
      <c r="F25" s="19" t="str">
        <f t="shared" si="0"/>
        <v/>
      </c>
      <c r="G25" s="19">
        <f t="shared" si="0"/>
        <v>926</v>
      </c>
      <c r="H25" s="19" t="str">
        <f t="shared" si="0"/>
        <v/>
      </c>
      <c r="I25" s="19" t="str">
        <f t="shared" si="0"/>
        <v/>
      </c>
      <c r="J25" s="19" t="str">
        <f t="shared" si="0"/>
        <v/>
      </c>
      <c r="K25" s="19" t="str">
        <f t="shared" si="0"/>
        <v/>
      </c>
      <c r="L25" s="19" t="str">
        <f t="shared" si="0"/>
        <v/>
      </c>
      <c r="M25" s="19" t="str">
        <f t="shared" si="0"/>
        <v/>
      </c>
      <c r="N25" s="8">
        <f t="shared" si="2"/>
        <v>926</v>
      </c>
      <c r="O25" s="35">
        <f t="shared" si="3"/>
        <v>920</v>
      </c>
      <c r="P25" s="32">
        <f t="shared" si="4"/>
        <v>0.15726495726495726</v>
      </c>
    </row>
    <row r="26" spans="1:16">
      <c r="A26" s="30" t="str">
        <f>IF($C$11&gt;3,"4th PLACE","")</f>
        <v>4th PLACE</v>
      </c>
      <c r="B26" s="31">
        <f t="shared" si="1"/>
        <v>640</v>
      </c>
      <c r="C26" s="13"/>
      <c r="D26" s="19" t="str">
        <f>IF($C$11=D$21,SUM($C$16),"")</f>
        <v/>
      </c>
      <c r="E26" s="19" t="str">
        <f t="shared" ref="E26:M26" si="5">IF($C$11=E$21,FLOOR(SUM((RATE($C$11,$C$16,0,-$C$15)*E27)+E27),1),"")</f>
        <v/>
      </c>
      <c r="F26" s="19" t="str">
        <f t="shared" si="5"/>
        <v/>
      </c>
      <c r="G26" s="19">
        <f t="shared" si="5"/>
        <v>631</v>
      </c>
      <c r="H26" s="19" t="str">
        <f t="shared" si="5"/>
        <v/>
      </c>
      <c r="I26" s="19" t="str">
        <f t="shared" si="5"/>
        <v/>
      </c>
      <c r="J26" s="19" t="str">
        <f t="shared" si="5"/>
        <v/>
      </c>
      <c r="K26" s="19" t="str">
        <f t="shared" si="5"/>
        <v/>
      </c>
      <c r="L26" s="19" t="str">
        <f t="shared" si="5"/>
        <v/>
      </c>
      <c r="M26" s="19" t="str">
        <f t="shared" si="5"/>
        <v/>
      </c>
      <c r="N26" s="8">
        <f t="shared" si="2"/>
        <v>631</v>
      </c>
      <c r="O26" s="35">
        <f t="shared" si="3"/>
        <v>640</v>
      </c>
      <c r="P26" s="32">
        <f t="shared" si="4"/>
        <v>0.1094017094017094</v>
      </c>
    </row>
    <row r="27" spans="1:16">
      <c r="A27" s="30" t="str">
        <f>IF($C$11&gt;4,"5th PLACE","")</f>
        <v>5th PLACE</v>
      </c>
      <c r="B27" s="31">
        <f t="shared" si="1"/>
        <v>440</v>
      </c>
      <c r="C27" s="13"/>
      <c r="D27" s="13"/>
      <c r="E27" s="19" t="str">
        <f>IF($C$11=5,SUM($C$16),"")</f>
        <v/>
      </c>
      <c r="F27" s="19" t="str">
        <f t="shared" ref="F27:M27" si="6">IF($C$11=F$21,FLOOR(SUM((RATE($C$11,$C$16,0,-$C$15)*F28)+F28),1),"")</f>
        <v/>
      </c>
      <c r="G27" s="19">
        <f t="shared" si="6"/>
        <v>430</v>
      </c>
      <c r="H27" s="19" t="str">
        <f t="shared" si="6"/>
        <v/>
      </c>
      <c r="I27" s="19" t="str">
        <f t="shared" si="6"/>
        <v/>
      </c>
      <c r="J27" s="19" t="str">
        <f t="shared" si="6"/>
        <v/>
      </c>
      <c r="K27" s="19" t="str">
        <f t="shared" si="6"/>
        <v/>
      </c>
      <c r="L27" s="19" t="str">
        <f t="shared" si="6"/>
        <v/>
      </c>
      <c r="M27" s="19" t="str">
        <f t="shared" si="6"/>
        <v/>
      </c>
      <c r="N27" s="8">
        <f t="shared" si="2"/>
        <v>430</v>
      </c>
      <c r="O27" s="35">
        <f t="shared" si="3"/>
        <v>440</v>
      </c>
      <c r="P27" s="32">
        <f t="shared" si="4"/>
        <v>7.521367521367521E-2</v>
      </c>
    </row>
    <row r="28" spans="1:16">
      <c r="A28" s="30" t="str">
        <f>IF($C$11&gt;5,"6th PLACE","")</f>
        <v>6th PLACE</v>
      </c>
      <c r="B28" s="31">
        <f t="shared" si="1"/>
        <v>300</v>
      </c>
      <c r="C28" s="13"/>
      <c r="D28" s="13"/>
      <c r="E28" s="13"/>
      <c r="F28" s="19" t="str">
        <f>IF($C$11=6,SUM($C$16),"")</f>
        <v/>
      </c>
      <c r="G28" s="19">
        <f t="shared" ref="G28:M28" si="7">IF($C$11=G$21,FLOOR(SUM((RATE($C$11,$C$16,0,-$C$15)*G29)+G29),1),"")</f>
        <v>293</v>
      </c>
      <c r="H28" s="19" t="str">
        <f t="shared" si="7"/>
        <v/>
      </c>
      <c r="I28" s="19" t="str">
        <f t="shared" si="7"/>
        <v/>
      </c>
      <c r="J28" s="19" t="str">
        <f t="shared" si="7"/>
        <v/>
      </c>
      <c r="K28" s="19" t="str">
        <f t="shared" si="7"/>
        <v/>
      </c>
      <c r="L28" s="19" t="str">
        <f t="shared" si="7"/>
        <v/>
      </c>
      <c r="M28" s="19" t="str">
        <f t="shared" si="7"/>
        <v/>
      </c>
      <c r="N28" s="8">
        <f t="shared" si="2"/>
        <v>293</v>
      </c>
      <c r="O28" s="35">
        <f t="shared" si="3"/>
        <v>300</v>
      </c>
      <c r="P28" s="32">
        <f t="shared" si="4"/>
        <v>5.128205128205128E-2</v>
      </c>
    </row>
    <row r="29" spans="1:16">
      <c r="A29" s="30" t="str">
        <f>IF($C$11&gt;6,"7th PLACE","")</f>
        <v>7th PLACE</v>
      </c>
      <c r="B29" s="31">
        <f t="shared" si="1"/>
        <v>200</v>
      </c>
      <c r="C29" s="13"/>
      <c r="D29" s="13"/>
      <c r="E29" s="13"/>
      <c r="F29" s="13"/>
      <c r="G29" s="19">
        <f>IF($C$11=7,SUM($C$16),"")</f>
        <v>200</v>
      </c>
      <c r="H29" s="19" t="str">
        <f t="shared" ref="H29:M29" si="8">IF($C$11=H$21,FLOOR(SUM((RATE($C$11,$C$16,0,-$C$15)*H30)+H30),1),"")</f>
        <v/>
      </c>
      <c r="I29" s="19" t="str">
        <f t="shared" si="8"/>
        <v/>
      </c>
      <c r="J29" s="19" t="str">
        <f t="shared" si="8"/>
        <v/>
      </c>
      <c r="K29" s="19" t="str">
        <f t="shared" si="8"/>
        <v/>
      </c>
      <c r="L29" s="19" t="str">
        <f t="shared" si="8"/>
        <v/>
      </c>
      <c r="M29" s="19" t="str">
        <f t="shared" si="8"/>
        <v/>
      </c>
      <c r="N29" s="8">
        <f t="shared" si="2"/>
        <v>200</v>
      </c>
      <c r="O29" s="35">
        <f t="shared" si="3"/>
        <v>200</v>
      </c>
      <c r="P29" s="32">
        <f t="shared" si="4"/>
        <v>3.4188034188034191E-2</v>
      </c>
    </row>
    <row r="30" spans="1:16">
      <c r="A30" s="30" t="str">
        <f>IF($C$11&gt;7,"8th PLACE","")</f>
        <v/>
      </c>
      <c r="B30" s="31">
        <f t="shared" si="1"/>
        <v>0</v>
      </c>
      <c r="C30" s="13"/>
      <c r="D30" s="13"/>
      <c r="E30" s="13"/>
      <c r="F30" s="13"/>
      <c r="G30" s="13"/>
      <c r="H30" s="19" t="str">
        <f>IF($C$11=8,SUM($C$16),"")</f>
        <v/>
      </c>
      <c r="I30" s="19" t="str">
        <f>IF($C$11=I$21,FLOOR(SUM((RATE($C$11,$C$16,0,-$C$15)*I31)+I31),1),"")</f>
        <v/>
      </c>
      <c r="J30" s="19" t="str">
        <f>IF($C$11=J$21,FLOOR(SUM((RATE($C$11,$C$16,0,-$C$15)*J31)+J31),1),"")</f>
        <v/>
      </c>
      <c r="K30" s="19" t="str">
        <f>IF($C$11=K$21,FLOOR(SUM((RATE($C$11,$C$16,0,-$C$15)*K31)+K31),1),"")</f>
        <v/>
      </c>
      <c r="L30" s="19" t="str">
        <f>IF($C$11=L$21,FLOOR(SUM((RATE($C$11,$C$16,0,-$C$15)*L31)+L31),1),"")</f>
        <v/>
      </c>
      <c r="M30" s="19" t="str">
        <f>IF($C$11=M$21,FLOOR(SUM((RATE($C$11,$C$16,0,-$C$15)*M31)+M31),1),"")</f>
        <v/>
      </c>
      <c r="N30" s="8">
        <f t="shared" si="2"/>
        <v>0</v>
      </c>
      <c r="O30" s="35">
        <f t="shared" si="3"/>
        <v>0</v>
      </c>
      <c r="P30" s="32">
        <f t="shared" si="4"/>
        <v>0</v>
      </c>
    </row>
    <row r="31" spans="1:16">
      <c r="A31" s="30" t="str">
        <f>IF($C$11&gt;8,"9th PLACE","")</f>
        <v/>
      </c>
      <c r="B31" s="31">
        <f t="shared" si="1"/>
        <v>0</v>
      </c>
      <c r="C31" s="13"/>
      <c r="D31" s="13"/>
      <c r="E31" s="13"/>
      <c r="F31" s="13"/>
      <c r="G31" s="13"/>
      <c r="H31" s="13"/>
      <c r="I31" s="19" t="str">
        <f>IF($C$11=9,SUM($C$16),"")</f>
        <v/>
      </c>
      <c r="J31" s="19" t="str">
        <f>IF($C$11=J$21,FLOOR(SUM((RATE($C$11,$C$16,0,-$C$15)*J32)+J32),1),"")</f>
        <v/>
      </c>
      <c r="K31" s="19" t="str">
        <f>IF($C$11=K$21,FLOOR(SUM((RATE($C$11,$C$16,0,-$C$15)*K32)+K32),1),"")</f>
        <v/>
      </c>
      <c r="L31" s="19" t="str">
        <f>IF($C$11=L$21,FLOOR(SUM((RATE($C$11,$C$16,0,-$C$15)*L32)+L32),1),"")</f>
        <v/>
      </c>
      <c r="M31" s="19" t="str">
        <f>IF($C$11=M$21,FLOOR(SUM((RATE($C$11,$C$16,0,-$C$15)*M32)+M32),1),"")</f>
        <v/>
      </c>
      <c r="N31" s="8">
        <f t="shared" si="2"/>
        <v>0</v>
      </c>
      <c r="O31" s="35">
        <f t="shared" si="3"/>
        <v>0</v>
      </c>
      <c r="P31" s="32">
        <f t="shared" si="4"/>
        <v>0</v>
      </c>
    </row>
    <row r="32" spans="1:16">
      <c r="A32" s="30" t="str">
        <f>IF($C$11&gt;9,"10th PLACE","")</f>
        <v/>
      </c>
      <c r="B32" s="31">
        <f t="shared" si="1"/>
        <v>0</v>
      </c>
      <c r="C32" s="13"/>
      <c r="D32" s="13"/>
      <c r="E32" s="13"/>
      <c r="F32" s="13"/>
      <c r="G32" s="13"/>
      <c r="H32" s="13"/>
      <c r="I32" s="13"/>
      <c r="J32" s="19" t="str">
        <f>IF($C$11=10,SUM($C$16),"")</f>
        <v/>
      </c>
      <c r="K32" s="19" t="str">
        <f>IF($C$11=K$21,FLOOR(SUM((RATE($C$11,$C$16,0,-$C$15)*K33)+K33),1),"")</f>
        <v/>
      </c>
      <c r="L32" s="19" t="str">
        <f>IF($C$11=L$21,FLOOR(SUM((RATE($C$11,$C$16,0,-$C$15)*L33)+L33),1),"")</f>
        <v/>
      </c>
      <c r="M32" s="19" t="str">
        <f>IF($C$11=M$21,FLOOR(SUM((RATE($C$11,$C$16,0,-$C$15)*M33)+M33),1),"")</f>
        <v/>
      </c>
      <c r="N32" s="8">
        <f t="shared" si="2"/>
        <v>0</v>
      </c>
      <c r="O32" s="35">
        <f t="shared" si="3"/>
        <v>0</v>
      </c>
      <c r="P32" s="32">
        <f t="shared" si="4"/>
        <v>0</v>
      </c>
    </row>
    <row r="33" spans="1:16">
      <c r="A33" s="30" t="str">
        <f>IF($C$11&gt;10,"11th PLACE","")</f>
        <v/>
      </c>
      <c r="B33" s="31">
        <f t="shared" si="1"/>
        <v>0</v>
      </c>
      <c r="C33" s="13"/>
      <c r="D33" s="13"/>
      <c r="E33" s="13"/>
      <c r="F33" s="13"/>
      <c r="G33" s="13"/>
      <c r="H33" s="13"/>
      <c r="I33" s="13"/>
      <c r="J33" s="13"/>
      <c r="K33" s="19" t="str">
        <f>IF($C$11=11,SUM($C$16),"")</f>
        <v/>
      </c>
      <c r="L33" s="19" t="str">
        <f>IF($C$11=L$21,FLOOR(SUM((RATE($C$11,$C$16,0,-$C$15)*L34)+L34),1),"")</f>
        <v/>
      </c>
      <c r="M33" s="19" t="str">
        <f>IF($C$11=M$21,FLOOR(SUM((RATE($C$11,$C$16,0,-$C$15)*M34)+M34),1),"")</f>
        <v/>
      </c>
      <c r="N33" s="8">
        <f t="shared" si="2"/>
        <v>0</v>
      </c>
      <c r="O33" s="35">
        <f t="shared" si="3"/>
        <v>0</v>
      </c>
      <c r="P33" s="32">
        <f t="shared" si="4"/>
        <v>0</v>
      </c>
    </row>
    <row r="34" spans="1:16">
      <c r="A34" s="30" t="str">
        <f>IF($C$11&gt;11,"12th PLACE","")</f>
        <v/>
      </c>
      <c r="B34" s="31">
        <f t="shared" si="1"/>
        <v>0</v>
      </c>
      <c r="C34" s="13"/>
      <c r="D34" s="13"/>
      <c r="E34" s="13"/>
      <c r="F34" s="13"/>
      <c r="G34" s="13"/>
      <c r="H34" s="13"/>
      <c r="I34" s="13"/>
      <c r="J34" s="13"/>
      <c r="K34" s="13"/>
      <c r="L34" s="19" t="str">
        <f>IF($C$11=12,SUM($C$16),"")</f>
        <v/>
      </c>
      <c r="M34" s="19" t="str">
        <f>IF($C$11=M$21,FLOOR(SUM((RATE($C$11,$C$16,0,-$C$15)*M35)+M35),1),"")</f>
        <v/>
      </c>
      <c r="N34" s="8">
        <f t="shared" si="2"/>
        <v>0</v>
      </c>
      <c r="O34" s="35">
        <f t="shared" si="3"/>
        <v>0</v>
      </c>
      <c r="P34" s="32">
        <f t="shared" si="4"/>
        <v>0</v>
      </c>
    </row>
    <row r="35" spans="1:16" ht="18">
      <c r="A35" s="30" t="str">
        <f>IF($C$11&gt;12,"13th PLACE","")</f>
        <v/>
      </c>
      <c r="B35" s="31">
        <f t="shared" si="1"/>
        <v>0</v>
      </c>
      <c r="C35" s="16"/>
      <c r="D35" s="16"/>
      <c r="E35" s="16"/>
      <c r="F35" s="16"/>
      <c r="G35" s="16"/>
      <c r="H35" s="16"/>
      <c r="I35" s="16"/>
      <c r="J35" s="16"/>
      <c r="K35" s="16"/>
      <c r="L35" s="16"/>
      <c r="M35" s="26" t="str">
        <f>IF($C$11=13,SUM($C$16),"")</f>
        <v/>
      </c>
      <c r="N35" s="8">
        <f t="shared" si="2"/>
        <v>0</v>
      </c>
      <c r="O35" s="35">
        <f t="shared" si="3"/>
        <v>0</v>
      </c>
      <c r="P35" s="32">
        <f t="shared" si="4"/>
        <v>0</v>
      </c>
    </row>
    <row r="36" spans="1:16" s="8" customFormat="1">
      <c r="A36" s="8" t="str">
        <f>IF($B$11&gt;11,"12th PLACE","")</f>
        <v/>
      </c>
      <c r="B36" s="13">
        <f>SUM(B23:B35)</f>
        <v>5860</v>
      </c>
      <c r="C36" s="27" t="str">
        <f>IF($C$11=C21,SUM(C23:C35),"")</f>
        <v/>
      </c>
      <c r="D36" s="27" t="str">
        <f t="shared" ref="D36:M36" si="9">IF($C$11=D21,SUM(D23:D35),"")</f>
        <v/>
      </c>
      <c r="E36" s="27" t="str">
        <f t="shared" si="9"/>
        <v/>
      </c>
      <c r="F36" s="27" t="str">
        <f t="shared" si="9"/>
        <v/>
      </c>
      <c r="G36" s="27">
        <f t="shared" si="9"/>
        <v>5833</v>
      </c>
      <c r="H36" s="27" t="str">
        <f t="shared" si="9"/>
        <v/>
      </c>
      <c r="I36" s="27" t="str">
        <f t="shared" si="9"/>
        <v/>
      </c>
      <c r="J36" s="27" t="str">
        <f t="shared" si="9"/>
        <v/>
      </c>
      <c r="K36" s="27" t="str">
        <f t="shared" si="9"/>
        <v/>
      </c>
      <c r="L36" s="27" t="str">
        <f t="shared" si="9"/>
        <v/>
      </c>
      <c r="M36" s="27" t="str">
        <f t="shared" si="9"/>
        <v/>
      </c>
      <c r="O36" s="46">
        <f>SUM(O23:O35)</f>
        <v>5850</v>
      </c>
      <c r="P36" s="34">
        <f>SUM(P23:P35)</f>
        <v>0.99999999999999989</v>
      </c>
    </row>
    <row r="37" spans="1:16" s="8" customFormat="1" ht="18">
      <c r="A37" s="8" t="str">
        <f>IF($B$11&gt;12,"13th PLACE","")</f>
        <v/>
      </c>
      <c r="B37" s="17">
        <f>SUM(C15)</f>
        <v>5850</v>
      </c>
      <c r="C37" s="26" t="str">
        <f t="shared" ref="C37:M37" si="10">IF($C$11=C21,SUM($C$15),"")</f>
        <v/>
      </c>
      <c r="D37" s="26" t="str">
        <f t="shared" si="10"/>
        <v/>
      </c>
      <c r="E37" s="26" t="str">
        <f t="shared" si="10"/>
        <v/>
      </c>
      <c r="F37" s="26" t="str">
        <f t="shared" si="10"/>
        <v/>
      </c>
      <c r="G37" s="26">
        <f t="shared" si="10"/>
        <v>5850</v>
      </c>
      <c r="H37" s="26" t="str">
        <f t="shared" si="10"/>
        <v/>
      </c>
      <c r="I37" s="26" t="str">
        <f t="shared" si="10"/>
        <v/>
      </c>
      <c r="J37" s="26" t="str">
        <f t="shared" si="10"/>
        <v/>
      </c>
      <c r="K37" s="26" t="str">
        <f t="shared" si="10"/>
        <v/>
      </c>
      <c r="L37" s="26" t="str">
        <f t="shared" si="10"/>
        <v/>
      </c>
      <c r="M37" s="26" t="str">
        <f t="shared" si="10"/>
        <v/>
      </c>
      <c r="O37" s="46">
        <f>SUM(C15)</f>
        <v>5850</v>
      </c>
    </row>
    <row r="38" spans="1:16" s="11" customFormat="1" ht="18">
      <c r="A38" s="38" t="s">
        <v>74</v>
      </c>
      <c r="B38" s="18">
        <f>SUM(B37-B36)</f>
        <v>-10</v>
      </c>
      <c r="C38" s="28" t="str">
        <f>IF($C$11=C21,SUM(C37-C36),"")</f>
        <v/>
      </c>
      <c r="D38" s="28" t="str">
        <f t="shared" ref="D38:M38" si="11">IF($C$11=D21,SUM(D37-D36),"")</f>
        <v/>
      </c>
      <c r="E38" s="28" t="str">
        <f t="shared" si="11"/>
        <v/>
      </c>
      <c r="F38" s="28" t="str">
        <f t="shared" si="11"/>
        <v/>
      </c>
      <c r="G38" s="28">
        <f t="shared" si="11"/>
        <v>17</v>
      </c>
      <c r="H38" s="28" t="str">
        <f t="shared" si="11"/>
        <v/>
      </c>
      <c r="I38" s="28" t="str">
        <f t="shared" si="11"/>
        <v/>
      </c>
      <c r="J38" s="28" t="str">
        <f t="shared" si="11"/>
        <v/>
      </c>
      <c r="K38" s="28" t="str">
        <f t="shared" si="11"/>
        <v/>
      </c>
      <c r="L38" s="28" t="str">
        <f t="shared" si="11"/>
        <v/>
      </c>
      <c r="M38" s="28" t="str">
        <f t="shared" si="11"/>
        <v/>
      </c>
      <c r="O38" s="37">
        <f>SUM(O37-O36)</f>
        <v>0</v>
      </c>
    </row>
    <row r="39" spans="1:16">
      <c r="B39" s="7"/>
      <c r="C39" s="6"/>
    </row>
    <row r="40" spans="1:16">
      <c r="B40" s="7"/>
      <c r="C40" s="6"/>
    </row>
    <row r="41" spans="1:16">
      <c r="B41" s="7"/>
      <c r="C41" s="6"/>
    </row>
    <row r="42" spans="1:16">
      <c r="B42" s="7"/>
      <c r="C42" s="6"/>
    </row>
    <row r="43" spans="1:16">
      <c r="B43" s="7"/>
      <c r="C43" s="6"/>
    </row>
    <row r="45" spans="1:16">
      <c r="B45" s="7"/>
    </row>
  </sheetData>
  <mergeCells count="18">
    <mergeCell ref="A17:A18"/>
    <mergeCell ref="D17:P18"/>
    <mergeCell ref="C17:C18"/>
    <mergeCell ref="B17:B18"/>
    <mergeCell ref="D5:P5"/>
    <mergeCell ref="D16:P16"/>
    <mergeCell ref="D15:P15"/>
    <mergeCell ref="D14:P14"/>
    <mergeCell ref="D13:P13"/>
    <mergeCell ref="D12:P12"/>
    <mergeCell ref="D4:P4"/>
    <mergeCell ref="D3:P3"/>
    <mergeCell ref="D2:P2"/>
    <mergeCell ref="D11:P11"/>
    <mergeCell ref="D9:P9"/>
    <mergeCell ref="D8:P8"/>
    <mergeCell ref="D7:P7"/>
    <mergeCell ref="D6:P6"/>
  </mergeCells>
  <pageMargins left="0.7" right="0.7" top="0.75" bottom="0.75" header="0.3" footer="0.3"/>
  <pageSetup scale="70"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R47"/>
  <sheetViews>
    <sheetView workbookViewId="0"/>
  </sheetViews>
  <sheetFormatPr defaultRowHeight="15.75"/>
  <cols>
    <col min="1" max="1" width="23.7109375" style="4" customWidth="1"/>
    <col min="2" max="2" width="10.85546875" style="5" bestFit="1" customWidth="1"/>
    <col min="3" max="13" width="9.7109375" style="4" customWidth="1"/>
    <col min="14" max="14" width="10.140625" style="4" bestFit="1" customWidth="1"/>
    <col min="15" max="15" width="10.28515625" style="4" bestFit="1" customWidth="1"/>
    <col min="16" max="16" width="10.7109375" style="4" bestFit="1" customWidth="1"/>
    <col min="17" max="16384" width="9.140625" style="4"/>
  </cols>
  <sheetData>
    <row r="1" spans="1:18" s="2" customFormat="1">
      <c r="B1" s="3"/>
      <c r="R1" s="35"/>
    </row>
    <row r="2" spans="1:18">
      <c r="A2" s="35" t="s">
        <v>0</v>
      </c>
      <c r="C2" s="20">
        <v>100</v>
      </c>
      <c r="D2" s="64" t="s">
        <v>59</v>
      </c>
      <c r="E2" s="64"/>
      <c r="F2" s="64"/>
      <c r="G2" s="64"/>
      <c r="H2" s="64"/>
      <c r="I2" s="64"/>
      <c r="J2" s="64"/>
      <c r="K2" s="64"/>
      <c r="L2" s="64"/>
      <c r="M2" s="64"/>
      <c r="N2" s="64"/>
      <c r="O2" s="64"/>
      <c r="P2" s="64"/>
    </row>
    <row r="3" spans="1:18">
      <c r="A3" s="35" t="s">
        <v>9</v>
      </c>
      <c r="C3" s="22">
        <f>ROUNDDOWN(C2*0.05,0)</f>
        <v>5</v>
      </c>
      <c r="D3" s="65" t="s">
        <v>116</v>
      </c>
      <c r="E3" s="65"/>
      <c r="F3" s="65"/>
      <c r="G3" s="65"/>
      <c r="H3" s="65"/>
      <c r="I3" s="65"/>
      <c r="J3" s="65"/>
      <c r="K3" s="65"/>
      <c r="L3" s="65"/>
      <c r="M3" s="65"/>
      <c r="N3" s="65"/>
      <c r="O3" s="65"/>
      <c r="P3" s="65"/>
    </row>
    <row r="4" spans="1:18">
      <c r="A4" s="35" t="s">
        <v>1</v>
      </c>
      <c r="C4" s="21">
        <v>120</v>
      </c>
      <c r="D4" s="64" t="s">
        <v>60</v>
      </c>
      <c r="E4" s="64"/>
      <c r="F4" s="64"/>
      <c r="G4" s="64"/>
      <c r="H4" s="64"/>
      <c r="I4" s="64"/>
      <c r="J4" s="64"/>
      <c r="K4" s="64"/>
      <c r="L4" s="64"/>
      <c r="M4" s="64"/>
      <c r="N4" s="64"/>
      <c r="O4" s="64"/>
      <c r="P4" s="64"/>
    </row>
    <row r="5" spans="1:18">
      <c r="A5" s="35" t="s">
        <v>37</v>
      </c>
      <c r="C5" s="21">
        <v>20</v>
      </c>
      <c r="D5" s="64" t="s">
        <v>68</v>
      </c>
      <c r="E5" s="64"/>
      <c r="F5" s="64"/>
      <c r="G5" s="64"/>
      <c r="H5" s="64"/>
      <c r="I5" s="64"/>
      <c r="J5" s="64"/>
      <c r="K5" s="64"/>
      <c r="L5" s="64"/>
      <c r="M5" s="64"/>
      <c r="N5" s="64"/>
      <c r="O5" s="64"/>
      <c r="P5" s="64"/>
    </row>
    <row r="6" spans="1:18">
      <c r="A6" s="35" t="s">
        <v>11</v>
      </c>
      <c r="B6" s="7"/>
      <c r="C6" s="21">
        <v>10</v>
      </c>
      <c r="D6" s="64" t="s">
        <v>61</v>
      </c>
      <c r="E6" s="64"/>
      <c r="F6" s="64"/>
      <c r="G6" s="64"/>
      <c r="H6" s="64"/>
      <c r="I6" s="64"/>
      <c r="J6" s="64"/>
      <c r="K6" s="64"/>
      <c r="L6" s="64"/>
      <c r="M6" s="64"/>
      <c r="N6" s="64"/>
      <c r="O6" s="64"/>
      <c r="P6" s="64"/>
    </row>
    <row r="7" spans="1:18">
      <c r="A7" s="35" t="s">
        <v>10</v>
      </c>
      <c r="B7" s="7"/>
      <c r="C7" s="21">
        <v>0</v>
      </c>
      <c r="D7" s="64" t="s">
        <v>113</v>
      </c>
      <c r="E7" s="64"/>
      <c r="F7" s="64"/>
      <c r="G7" s="64"/>
      <c r="H7" s="64"/>
      <c r="I7" s="64"/>
      <c r="J7" s="64"/>
      <c r="K7" s="64"/>
      <c r="L7" s="64"/>
      <c r="M7" s="64"/>
      <c r="N7" s="64"/>
      <c r="O7" s="64"/>
      <c r="P7" s="64"/>
    </row>
    <row r="8" spans="1:18">
      <c r="A8" s="35" t="s">
        <v>43</v>
      </c>
      <c r="B8" s="7"/>
      <c r="C8" s="21">
        <v>0</v>
      </c>
      <c r="D8" s="64" t="s">
        <v>114</v>
      </c>
      <c r="E8" s="64"/>
      <c r="F8" s="64"/>
      <c r="G8" s="64"/>
      <c r="H8" s="64"/>
      <c r="I8" s="64"/>
      <c r="J8" s="64"/>
      <c r="K8" s="64"/>
      <c r="L8" s="64"/>
      <c r="M8" s="64"/>
      <c r="N8" s="64"/>
      <c r="O8" s="64"/>
      <c r="P8" s="64"/>
    </row>
    <row r="9" spans="1:18">
      <c r="A9" s="35" t="s">
        <v>42</v>
      </c>
      <c r="B9" s="7"/>
      <c r="C9" s="21">
        <v>0</v>
      </c>
      <c r="D9" s="64" t="s">
        <v>115</v>
      </c>
      <c r="E9" s="64"/>
      <c r="F9" s="64"/>
      <c r="G9" s="64"/>
      <c r="H9" s="64"/>
      <c r="I9" s="64"/>
      <c r="J9" s="64"/>
      <c r="K9" s="64"/>
      <c r="L9" s="64"/>
      <c r="M9" s="64"/>
      <c r="N9" s="64"/>
      <c r="O9" s="64"/>
      <c r="P9" s="64"/>
    </row>
    <row r="10" spans="1:18">
      <c r="A10" s="35"/>
      <c r="B10" s="7"/>
      <c r="C10" s="17"/>
      <c r="I10" s="6"/>
      <c r="J10" s="6"/>
      <c r="K10" s="6"/>
      <c r="L10" s="6"/>
      <c r="M10" s="6"/>
      <c r="N10" s="6"/>
    </row>
    <row r="11" spans="1:18">
      <c r="A11" s="35" t="s">
        <v>2</v>
      </c>
      <c r="C11" s="23">
        <f>IF($C$2&lt;16,3,IF($C$2&lt;29,4,IF($C$2&lt;44,5,IF($C$2&lt;61,6,IF($C$2&lt;76,7,IF($C$2&lt;91,8,IF($C$2&lt;106,9,IF($C$2&lt;121,10,IF($C$2&lt;136,11,IF($C$2&lt;151,12,13))))))))))</f>
        <v>9</v>
      </c>
      <c r="D11" s="65" t="s">
        <v>66</v>
      </c>
      <c r="E11" s="65"/>
      <c r="F11" s="65"/>
      <c r="G11" s="65"/>
      <c r="H11" s="65"/>
      <c r="I11" s="65"/>
      <c r="J11" s="65"/>
      <c r="K11" s="65"/>
      <c r="L11" s="65"/>
      <c r="M11" s="65"/>
      <c r="N11" s="65"/>
      <c r="O11" s="65"/>
      <c r="P11" s="65"/>
    </row>
    <row r="12" spans="1:18">
      <c r="A12" s="35" t="s">
        <v>36</v>
      </c>
      <c r="B12" s="7"/>
      <c r="C12" s="19">
        <f>SUM(C2*C4)</f>
        <v>12000</v>
      </c>
      <c r="D12" s="65" t="s">
        <v>70</v>
      </c>
      <c r="E12" s="65"/>
      <c r="F12" s="65"/>
      <c r="G12" s="65"/>
      <c r="H12" s="65"/>
      <c r="I12" s="65"/>
      <c r="J12" s="65"/>
      <c r="K12" s="65"/>
      <c r="L12" s="65"/>
      <c r="M12" s="65"/>
      <c r="N12" s="65"/>
      <c r="O12" s="65"/>
      <c r="P12" s="65"/>
    </row>
    <row r="13" spans="1:18">
      <c r="A13" s="35" t="s">
        <v>38</v>
      </c>
      <c r="B13" s="7"/>
      <c r="C13" s="19">
        <f>SUM(C2*C5)</f>
        <v>2000</v>
      </c>
      <c r="D13" s="65" t="s">
        <v>98</v>
      </c>
      <c r="E13" s="65"/>
      <c r="F13" s="65"/>
      <c r="G13" s="65"/>
      <c r="H13" s="65"/>
      <c r="I13" s="65"/>
      <c r="J13" s="65"/>
      <c r="K13" s="65"/>
      <c r="L13" s="65"/>
      <c r="M13" s="65"/>
      <c r="N13" s="65"/>
      <c r="O13" s="65"/>
      <c r="P13" s="65"/>
    </row>
    <row r="14" spans="1:18">
      <c r="A14" s="35" t="s">
        <v>4</v>
      </c>
      <c r="B14" s="7"/>
      <c r="C14" s="19">
        <f>SUM((C3*C7)+(C2*C6))</f>
        <v>1000</v>
      </c>
      <c r="D14" s="65" t="s">
        <v>117</v>
      </c>
      <c r="E14" s="65"/>
      <c r="F14" s="65"/>
      <c r="G14" s="65"/>
      <c r="H14" s="65"/>
      <c r="I14" s="65"/>
      <c r="J14" s="65"/>
      <c r="K14" s="65"/>
      <c r="L14" s="65"/>
      <c r="M14" s="65"/>
      <c r="N14" s="65"/>
      <c r="O14" s="65"/>
      <c r="P14" s="65"/>
    </row>
    <row r="15" spans="1:18">
      <c r="A15" s="35" t="s">
        <v>5</v>
      </c>
      <c r="B15" s="7"/>
      <c r="C15" s="24">
        <f>SUM(C12-C13-C14-C8-C9)</f>
        <v>9000</v>
      </c>
      <c r="D15" s="69" t="s">
        <v>65</v>
      </c>
      <c r="E15" s="65"/>
      <c r="F15" s="65"/>
      <c r="G15" s="65"/>
      <c r="H15" s="65"/>
      <c r="I15" s="65"/>
      <c r="J15" s="65"/>
      <c r="K15" s="65"/>
      <c r="L15" s="65"/>
      <c r="M15" s="65"/>
      <c r="N15" s="65"/>
      <c r="O15" s="65"/>
      <c r="P15" s="65"/>
    </row>
    <row r="16" spans="1:18">
      <c r="A16" s="35" t="s">
        <v>6</v>
      </c>
      <c r="B16" s="7"/>
      <c r="C16" s="21">
        <v>200</v>
      </c>
      <c r="D16" s="64" t="s">
        <v>71</v>
      </c>
      <c r="E16" s="64"/>
      <c r="F16" s="64"/>
      <c r="G16" s="64"/>
      <c r="H16" s="64"/>
      <c r="I16" s="64"/>
      <c r="J16" s="64"/>
      <c r="K16" s="64"/>
      <c r="L16" s="64"/>
      <c r="M16" s="64"/>
      <c r="N16" s="64"/>
      <c r="O16" s="64"/>
      <c r="P16" s="64"/>
    </row>
    <row r="17" spans="1:16">
      <c r="A17" s="61" t="s">
        <v>84</v>
      </c>
      <c r="B17" s="68"/>
      <c r="C17" s="67">
        <f>RATE($C$11,$C$16,0,-C15)</f>
        <v>0.37929627558292772</v>
      </c>
      <c r="D17" s="66" t="s">
        <v>118</v>
      </c>
      <c r="E17" s="66"/>
      <c r="F17" s="66"/>
      <c r="G17" s="66"/>
      <c r="H17" s="66"/>
      <c r="I17" s="66"/>
      <c r="J17" s="66"/>
      <c r="K17" s="66"/>
      <c r="L17" s="66"/>
      <c r="M17" s="66"/>
      <c r="N17" s="66"/>
      <c r="O17" s="66"/>
      <c r="P17" s="66"/>
    </row>
    <row r="18" spans="1:16">
      <c r="A18" s="61"/>
      <c r="B18" s="68"/>
      <c r="C18" s="67"/>
      <c r="D18" s="66"/>
      <c r="E18" s="66"/>
      <c r="F18" s="66"/>
      <c r="G18" s="66"/>
      <c r="H18" s="66"/>
      <c r="I18" s="66"/>
      <c r="J18" s="66"/>
      <c r="K18" s="66"/>
      <c r="L18" s="66"/>
      <c r="M18" s="66"/>
      <c r="N18" s="66"/>
      <c r="O18" s="66"/>
      <c r="P18" s="66"/>
    </row>
    <row r="19" spans="1:16">
      <c r="B19" s="36" t="s">
        <v>77</v>
      </c>
      <c r="F19" s="6"/>
      <c r="G19" s="6"/>
      <c r="H19" s="6"/>
      <c r="I19" s="6"/>
      <c r="J19" s="6"/>
      <c r="K19" s="6"/>
      <c r="L19" s="6"/>
      <c r="M19" s="6"/>
      <c r="N19" s="39"/>
      <c r="O19" s="36" t="s">
        <v>92</v>
      </c>
      <c r="P19" s="44" t="s">
        <v>80</v>
      </c>
    </row>
    <row r="20" spans="1:16">
      <c r="B20" s="36" t="s">
        <v>78</v>
      </c>
      <c r="C20" s="1"/>
      <c r="D20" s="1"/>
      <c r="E20" s="1"/>
      <c r="F20" s="33"/>
      <c r="G20" s="33"/>
      <c r="H20" s="33"/>
      <c r="I20" s="33"/>
      <c r="J20" s="33"/>
      <c r="K20" s="33"/>
      <c r="L20" s="33"/>
      <c r="M20" s="33"/>
      <c r="N20" s="36"/>
      <c r="O20" s="36" t="s">
        <v>93</v>
      </c>
      <c r="P20" s="44" t="s">
        <v>81</v>
      </c>
    </row>
    <row r="21" spans="1:16">
      <c r="B21" s="36" t="s">
        <v>79</v>
      </c>
      <c r="C21" s="1"/>
      <c r="D21" s="1"/>
      <c r="E21" s="1"/>
      <c r="F21" s="33"/>
      <c r="G21" s="33"/>
      <c r="H21" s="33"/>
      <c r="I21" s="33"/>
      <c r="J21" s="33"/>
      <c r="K21" s="33"/>
      <c r="L21" s="33"/>
      <c r="M21" s="33"/>
      <c r="N21" s="36" t="s">
        <v>75</v>
      </c>
      <c r="O21" s="36" t="s">
        <v>94</v>
      </c>
      <c r="P21" s="44" t="s">
        <v>82</v>
      </c>
    </row>
    <row r="22" spans="1:16">
      <c r="B22" s="43">
        <v>20</v>
      </c>
      <c r="C22" s="1"/>
      <c r="D22" s="1"/>
      <c r="E22" s="1"/>
      <c r="F22" s="33"/>
      <c r="G22" s="33"/>
      <c r="H22" s="33"/>
      <c r="I22" s="33"/>
      <c r="J22" s="33"/>
      <c r="K22" s="33"/>
      <c r="L22" s="33"/>
      <c r="M22" s="33"/>
      <c r="N22" s="42" t="s">
        <v>76</v>
      </c>
      <c r="O22" s="43" t="s">
        <v>95</v>
      </c>
      <c r="P22" s="45" t="s">
        <v>83</v>
      </c>
    </row>
    <row r="23" spans="1:16">
      <c r="A23" s="30" t="s">
        <v>96</v>
      </c>
      <c r="B23" s="36"/>
      <c r="C23" s="48">
        <v>3</v>
      </c>
      <c r="D23" s="48">
        <v>4</v>
      </c>
      <c r="E23" s="48">
        <v>5</v>
      </c>
      <c r="F23" s="48">
        <v>6</v>
      </c>
      <c r="G23" s="48">
        <v>7</v>
      </c>
      <c r="H23" s="48">
        <v>8</v>
      </c>
      <c r="I23" s="48">
        <v>9</v>
      </c>
      <c r="J23" s="48">
        <v>10</v>
      </c>
      <c r="K23" s="48">
        <v>11</v>
      </c>
      <c r="L23" s="48">
        <v>12</v>
      </c>
      <c r="M23" s="48">
        <v>13</v>
      </c>
      <c r="N23" s="42"/>
      <c r="O23" s="43"/>
      <c r="P23" s="45"/>
    </row>
    <row r="24" spans="1:16" s="47" customFormat="1">
      <c r="A24" s="30" t="s">
        <v>97</v>
      </c>
      <c r="B24" s="43"/>
      <c r="C24" s="49" t="s">
        <v>49</v>
      </c>
      <c r="D24" s="49" t="s">
        <v>50</v>
      </c>
      <c r="E24" s="49" t="s">
        <v>51</v>
      </c>
      <c r="F24" s="49" t="s">
        <v>52</v>
      </c>
      <c r="G24" s="49" t="s">
        <v>85</v>
      </c>
      <c r="H24" s="49" t="s">
        <v>86</v>
      </c>
      <c r="I24" s="49" t="s">
        <v>87</v>
      </c>
      <c r="J24" s="49" t="s">
        <v>88</v>
      </c>
      <c r="K24" s="49" t="s">
        <v>89</v>
      </c>
      <c r="L24" s="49" t="s">
        <v>90</v>
      </c>
      <c r="M24" s="49" t="s">
        <v>91</v>
      </c>
      <c r="N24" s="42"/>
      <c r="O24" s="43"/>
      <c r="P24" s="45"/>
    </row>
    <row r="25" spans="1:16">
      <c r="A25" s="30" t="str">
        <f>IF($C$11&gt;0,"1st PLACE","")</f>
        <v>1st PLACE</v>
      </c>
      <c r="B25" s="31">
        <f>MROUND(N25,20)</f>
        <v>2600</v>
      </c>
      <c r="C25" s="24" t="str">
        <f>IF($C$2&lt;16,SUM($C$15*0.55),"")</f>
        <v/>
      </c>
      <c r="D25" s="24" t="str">
        <f t="shared" ref="D25:M27" si="0">IF($C$11=D$23,FLOOR(SUM((RATE($C$11,$C$16,0,-$C$15)*D26)+D26),1),"")</f>
        <v/>
      </c>
      <c r="E25" s="24" t="str">
        <f t="shared" si="0"/>
        <v/>
      </c>
      <c r="F25" s="24" t="str">
        <f t="shared" si="0"/>
        <v/>
      </c>
      <c r="G25" s="24" t="str">
        <f t="shared" si="0"/>
        <v/>
      </c>
      <c r="H25" s="24" t="str">
        <f t="shared" si="0"/>
        <v/>
      </c>
      <c r="I25" s="24">
        <f t="shared" si="0"/>
        <v>2598</v>
      </c>
      <c r="J25" s="24" t="str">
        <f t="shared" si="0"/>
        <v/>
      </c>
      <c r="K25" s="24" t="str">
        <f t="shared" si="0"/>
        <v/>
      </c>
      <c r="L25" s="24" t="str">
        <f t="shared" si="0"/>
        <v/>
      </c>
      <c r="M25" s="24" t="str">
        <f t="shared" si="0"/>
        <v/>
      </c>
      <c r="N25" s="8">
        <f>SUM(C25:M25)</f>
        <v>2598</v>
      </c>
      <c r="O25" s="46">
        <f>SUM(MROUND(N25,20)+B40)</f>
        <v>2660</v>
      </c>
      <c r="P25" s="32">
        <f>SUM(O25/$C$15)</f>
        <v>0.29555555555555557</v>
      </c>
    </row>
    <row r="26" spans="1:16">
      <c r="A26" s="30" t="str">
        <f>IF($C$11&gt;1,"2nd PLACE","")</f>
        <v>2nd PLACE</v>
      </c>
      <c r="B26" s="31">
        <f t="shared" ref="B26:B37" si="1">MROUND(N26,20)</f>
        <v>1880</v>
      </c>
      <c r="C26" s="24" t="str">
        <f>IF($C$2&lt;16,SUM($C$15*0.3),"")</f>
        <v/>
      </c>
      <c r="D26" s="24" t="str">
        <f t="shared" si="0"/>
        <v/>
      </c>
      <c r="E26" s="24" t="str">
        <f t="shared" si="0"/>
        <v/>
      </c>
      <c r="F26" s="24" t="str">
        <f t="shared" si="0"/>
        <v/>
      </c>
      <c r="G26" s="24" t="str">
        <f t="shared" si="0"/>
        <v/>
      </c>
      <c r="H26" s="24" t="str">
        <f t="shared" si="0"/>
        <v/>
      </c>
      <c r="I26" s="24">
        <f t="shared" si="0"/>
        <v>1884</v>
      </c>
      <c r="J26" s="24" t="str">
        <f t="shared" si="0"/>
        <v/>
      </c>
      <c r="K26" s="24" t="str">
        <f t="shared" si="0"/>
        <v/>
      </c>
      <c r="L26" s="24" t="str">
        <f t="shared" si="0"/>
        <v/>
      </c>
      <c r="M26" s="24" t="str">
        <f t="shared" si="0"/>
        <v/>
      </c>
      <c r="N26" s="8">
        <f t="shared" ref="N26:N37" si="2">SUM(C26:M26)</f>
        <v>1884</v>
      </c>
      <c r="O26" s="35">
        <f t="shared" ref="O26:O37" si="3">MROUND(N26,20)</f>
        <v>1880</v>
      </c>
      <c r="P26" s="32">
        <f t="shared" ref="P26:P37" si="4">SUM(O26/$C$15)</f>
        <v>0.2088888888888889</v>
      </c>
    </row>
    <row r="27" spans="1:16">
      <c r="A27" s="30" t="str">
        <f>IF($C$11&gt;2,"3rd PLACE","")</f>
        <v>3rd PLACE</v>
      </c>
      <c r="B27" s="31">
        <f t="shared" si="1"/>
        <v>1360</v>
      </c>
      <c r="C27" s="24" t="str">
        <f>IF($C$2&lt;16,SUM($C$15*0.15),"")</f>
        <v/>
      </c>
      <c r="D27" s="24" t="str">
        <f t="shared" si="0"/>
        <v/>
      </c>
      <c r="E27" s="24" t="str">
        <f t="shared" si="0"/>
        <v/>
      </c>
      <c r="F27" s="24" t="str">
        <f t="shared" si="0"/>
        <v/>
      </c>
      <c r="G27" s="24" t="str">
        <f t="shared" si="0"/>
        <v/>
      </c>
      <c r="H27" s="24" t="str">
        <f t="shared" si="0"/>
        <v/>
      </c>
      <c r="I27" s="24">
        <f t="shared" si="0"/>
        <v>1366</v>
      </c>
      <c r="J27" s="24" t="str">
        <f t="shared" si="0"/>
        <v/>
      </c>
      <c r="K27" s="24" t="str">
        <f t="shared" si="0"/>
        <v/>
      </c>
      <c r="L27" s="24" t="str">
        <f t="shared" si="0"/>
        <v/>
      </c>
      <c r="M27" s="24" t="str">
        <f t="shared" si="0"/>
        <v/>
      </c>
      <c r="N27" s="8">
        <f t="shared" si="2"/>
        <v>1366</v>
      </c>
      <c r="O27" s="35">
        <f t="shared" si="3"/>
        <v>1360</v>
      </c>
      <c r="P27" s="32">
        <f t="shared" si="4"/>
        <v>0.15111111111111111</v>
      </c>
    </row>
    <row r="28" spans="1:16">
      <c r="A28" s="30" t="str">
        <f>IF($C$11&gt;3,"4th PLACE","")</f>
        <v>4th PLACE</v>
      </c>
      <c r="B28" s="31">
        <f t="shared" si="1"/>
        <v>1000</v>
      </c>
      <c r="C28" s="50"/>
      <c r="D28" s="24" t="str">
        <f>IF($C$11=D$23,SUM($C$16),"")</f>
        <v/>
      </c>
      <c r="E28" s="24" t="str">
        <f t="shared" ref="E28:M28" si="5">IF($C$11=E$23,FLOOR(SUM((RATE($C$11,$C$16,0,-$C$15)*E29)+E29),1),"")</f>
        <v/>
      </c>
      <c r="F28" s="24" t="str">
        <f t="shared" si="5"/>
        <v/>
      </c>
      <c r="G28" s="24" t="str">
        <f t="shared" si="5"/>
        <v/>
      </c>
      <c r="H28" s="24" t="str">
        <f t="shared" si="5"/>
        <v/>
      </c>
      <c r="I28" s="24">
        <f t="shared" si="5"/>
        <v>991</v>
      </c>
      <c r="J28" s="24" t="str">
        <f t="shared" si="5"/>
        <v/>
      </c>
      <c r="K28" s="24" t="str">
        <f t="shared" si="5"/>
        <v/>
      </c>
      <c r="L28" s="24" t="str">
        <f t="shared" si="5"/>
        <v/>
      </c>
      <c r="M28" s="24" t="str">
        <f t="shared" si="5"/>
        <v/>
      </c>
      <c r="N28" s="8">
        <f t="shared" si="2"/>
        <v>991</v>
      </c>
      <c r="O28" s="35">
        <f t="shared" si="3"/>
        <v>1000</v>
      </c>
      <c r="P28" s="32">
        <f t="shared" si="4"/>
        <v>0.1111111111111111</v>
      </c>
    </row>
    <row r="29" spans="1:16">
      <c r="A29" s="30" t="str">
        <f>IF($C$11&gt;4,"5th PLACE","")</f>
        <v>5th PLACE</v>
      </c>
      <c r="B29" s="31">
        <f t="shared" si="1"/>
        <v>720</v>
      </c>
      <c r="C29" s="50"/>
      <c r="D29" s="50"/>
      <c r="E29" s="24" t="str">
        <f>IF($C$11=5,SUM($C$16),"")</f>
        <v/>
      </c>
      <c r="F29" s="24" t="str">
        <f t="shared" ref="F29:M29" si="6">IF($C$11=F$23,FLOOR(SUM((RATE($C$11,$C$16,0,-$C$15)*F30)+F30),1),"")</f>
        <v/>
      </c>
      <c r="G29" s="24" t="str">
        <f t="shared" si="6"/>
        <v/>
      </c>
      <c r="H29" s="24" t="str">
        <f t="shared" si="6"/>
        <v/>
      </c>
      <c r="I29" s="24">
        <f t="shared" si="6"/>
        <v>719</v>
      </c>
      <c r="J29" s="24" t="str">
        <f t="shared" si="6"/>
        <v/>
      </c>
      <c r="K29" s="24" t="str">
        <f t="shared" si="6"/>
        <v/>
      </c>
      <c r="L29" s="24" t="str">
        <f t="shared" si="6"/>
        <v/>
      </c>
      <c r="M29" s="24" t="str">
        <f t="shared" si="6"/>
        <v/>
      </c>
      <c r="N29" s="8">
        <f t="shared" si="2"/>
        <v>719</v>
      </c>
      <c r="O29" s="35">
        <f t="shared" si="3"/>
        <v>720</v>
      </c>
      <c r="P29" s="32">
        <f t="shared" si="4"/>
        <v>0.08</v>
      </c>
    </row>
    <row r="30" spans="1:16">
      <c r="A30" s="30" t="str">
        <f>IF($C$11&gt;5,"6th PLACE","")</f>
        <v>6th PLACE</v>
      </c>
      <c r="B30" s="31">
        <f t="shared" si="1"/>
        <v>520</v>
      </c>
      <c r="C30" s="50"/>
      <c r="D30" s="50"/>
      <c r="E30" s="50"/>
      <c r="F30" s="24" t="str">
        <f>IF($C$11=6,SUM($C$16),"")</f>
        <v/>
      </c>
      <c r="G30" s="24" t="str">
        <f t="shared" ref="G30:M30" si="7">IF($C$11=G$23,FLOOR(SUM((RATE($C$11,$C$16,0,-$C$15)*G31)+G31),1),"")</f>
        <v/>
      </c>
      <c r="H30" s="24" t="str">
        <f t="shared" si="7"/>
        <v/>
      </c>
      <c r="I30" s="24">
        <f t="shared" si="7"/>
        <v>522</v>
      </c>
      <c r="J30" s="24" t="str">
        <f t="shared" si="7"/>
        <v/>
      </c>
      <c r="K30" s="24" t="str">
        <f t="shared" si="7"/>
        <v/>
      </c>
      <c r="L30" s="24" t="str">
        <f t="shared" si="7"/>
        <v/>
      </c>
      <c r="M30" s="24" t="str">
        <f t="shared" si="7"/>
        <v/>
      </c>
      <c r="N30" s="8">
        <f t="shared" si="2"/>
        <v>522</v>
      </c>
      <c r="O30" s="35">
        <f t="shared" si="3"/>
        <v>520</v>
      </c>
      <c r="P30" s="32">
        <f t="shared" si="4"/>
        <v>5.7777777777777775E-2</v>
      </c>
    </row>
    <row r="31" spans="1:16">
      <c r="A31" s="30" t="str">
        <f>IF($C$11&gt;6,"7th PLACE","")</f>
        <v>7th PLACE</v>
      </c>
      <c r="B31" s="31">
        <f t="shared" si="1"/>
        <v>380</v>
      </c>
      <c r="C31" s="50"/>
      <c r="D31" s="50"/>
      <c r="E31" s="50"/>
      <c r="F31" s="50"/>
      <c r="G31" s="24" t="str">
        <f>IF($C$11=7,SUM($C$16),"")</f>
        <v/>
      </c>
      <c r="H31" s="24" t="str">
        <f t="shared" ref="H31:M31" si="8">IF($C$11=H$23,FLOOR(SUM((RATE($C$11,$C$16,0,-$C$15)*H32)+H32),1),"")</f>
        <v/>
      </c>
      <c r="I31" s="24">
        <f t="shared" si="8"/>
        <v>379</v>
      </c>
      <c r="J31" s="24" t="str">
        <f t="shared" si="8"/>
        <v/>
      </c>
      <c r="K31" s="24" t="str">
        <f t="shared" si="8"/>
        <v/>
      </c>
      <c r="L31" s="24" t="str">
        <f t="shared" si="8"/>
        <v/>
      </c>
      <c r="M31" s="24" t="str">
        <f t="shared" si="8"/>
        <v/>
      </c>
      <c r="N31" s="8">
        <f t="shared" si="2"/>
        <v>379</v>
      </c>
      <c r="O31" s="35">
        <f t="shared" si="3"/>
        <v>380</v>
      </c>
      <c r="P31" s="32">
        <f t="shared" si="4"/>
        <v>4.2222222222222223E-2</v>
      </c>
    </row>
    <row r="32" spans="1:16">
      <c r="A32" s="30" t="str">
        <f>IF($C$11&gt;7,"8th PLACE","")</f>
        <v>8th PLACE</v>
      </c>
      <c r="B32" s="31">
        <f t="shared" si="1"/>
        <v>280</v>
      </c>
      <c r="C32" s="50"/>
      <c r="D32" s="50"/>
      <c r="E32" s="50"/>
      <c r="F32" s="50"/>
      <c r="G32" s="50"/>
      <c r="H32" s="24" t="str">
        <f>IF($C$11=8,SUM($C$16),"")</f>
        <v/>
      </c>
      <c r="I32" s="24">
        <f>IF($C$11=I$23,FLOOR(SUM((RATE($C$11,$C$16,0,-$C$15)*I33)+I33),1),"")</f>
        <v>275</v>
      </c>
      <c r="J32" s="24" t="str">
        <f>IF($C$11=J$23,FLOOR(SUM((RATE($C$11,$C$16,0,-$C$15)*J33)+J33),1),"")</f>
        <v/>
      </c>
      <c r="K32" s="24" t="str">
        <f>IF($C$11=K$23,FLOOR(SUM((RATE($C$11,$C$16,0,-$C$15)*K33)+K33),1),"")</f>
        <v/>
      </c>
      <c r="L32" s="24" t="str">
        <f>IF($C$11=L$23,FLOOR(SUM((RATE($C$11,$C$16,0,-$C$15)*L33)+L33),1),"")</f>
        <v/>
      </c>
      <c r="M32" s="24" t="str">
        <f>IF($C$11=M$23,FLOOR(SUM((RATE($C$11,$C$16,0,-$C$15)*M33)+M33),1),"")</f>
        <v/>
      </c>
      <c r="N32" s="8">
        <f t="shared" si="2"/>
        <v>275</v>
      </c>
      <c r="O32" s="35">
        <f t="shared" si="3"/>
        <v>280</v>
      </c>
      <c r="P32" s="32">
        <f t="shared" si="4"/>
        <v>3.111111111111111E-2</v>
      </c>
    </row>
    <row r="33" spans="1:16">
      <c r="A33" s="30" t="str">
        <f>IF($C$11&gt;8,"9th PLACE","")</f>
        <v>9th PLACE</v>
      </c>
      <c r="B33" s="31">
        <f t="shared" si="1"/>
        <v>200</v>
      </c>
      <c r="C33" s="50"/>
      <c r="D33" s="50"/>
      <c r="E33" s="50"/>
      <c r="F33" s="50"/>
      <c r="G33" s="50"/>
      <c r="H33" s="50"/>
      <c r="I33" s="24">
        <f>IF($C$11=9,SUM($C$16),"")</f>
        <v>200</v>
      </c>
      <c r="J33" s="24" t="str">
        <f>IF($C$11=J$23,FLOOR(SUM((RATE($C$11,$C$16,0,-$C$15)*J34)+J34),1),"")</f>
        <v/>
      </c>
      <c r="K33" s="24" t="str">
        <f>IF($C$11=K$23,FLOOR(SUM((RATE($C$11,$C$16,0,-$C$15)*K34)+K34),1),"")</f>
        <v/>
      </c>
      <c r="L33" s="24" t="str">
        <f>IF($C$11=L$23,FLOOR(SUM((RATE($C$11,$C$16,0,-$C$15)*L34)+L34),1),"")</f>
        <v/>
      </c>
      <c r="M33" s="24" t="str">
        <f>IF($C$11=M$23,FLOOR(SUM((RATE($C$11,$C$16,0,-$C$15)*M34)+M34),1),"")</f>
        <v/>
      </c>
      <c r="N33" s="8">
        <f t="shared" si="2"/>
        <v>200</v>
      </c>
      <c r="O33" s="35">
        <f t="shared" si="3"/>
        <v>200</v>
      </c>
      <c r="P33" s="32">
        <f t="shared" si="4"/>
        <v>2.2222222222222223E-2</v>
      </c>
    </row>
    <row r="34" spans="1:16">
      <c r="A34" s="30" t="str">
        <f>IF($C$11&gt;9,"10th PLACE","")</f>
        <v/>
      </c>
      <c r="B34" s="31">
        <f t="shared" si="1"/>
        <v>0</v>
      </c>
      <c r="C34" s="50"/>
      <c r="D34" s="50"/>
      <c r="E34" s="50"/>
      <c r="F34" s="50"/>
      <c r="G34" s="50"/>
      <c r="H34" s="50"/>
      <c r="I34" s="50"/>
      <c r="J34" s="24" t="str">
        <f>IF($C$11=10,SUM($C$16),"")</f>
        <v/>
      </c>
      <c r="K34" s="24" t="str">
        <f>IF($C$11=K$23,FLOOR(SUM((RATE($C$11,$C$16,0,-$C$15)*K35)+K35),1),"")</f>
        <v/>
      </c>
      <c r="L34" s="24" t="str">
        <f>IF($C$11=L$23,FLOOR(SUM((RATE($C$11,$C$16,0,-$C$15)*L35)+L35),1),"")</f>
        <v/>
      </c>
      <c r="M34" s="24" t="str">
        <f>IF($C$11=M$23,FLOOR(SUM((RATE($C$11,$C$16,0,-$C$15)*M35)+M35),1),"")</f>
        <v/>
      </c>
      <c r="N34" s="8">
        <f t="shared" si="2"/>
        <v>0</v>
      </c>
      <c r="O34" s="35">
        <f t="shared" si="3"/>
        <v>0</v>
      </c>
      <c r="P34" s="32">
        <f t="shared" si="4"/>
        <v>0</v>
      </c>
    </row>
    <row r="35" spans="1:16">
      <c r="A35" s="30" t="str">
        <f>IF($C$11&gt;10,"11th PLACE","")</f>
        <v/>
      </c>
      <c r="B35" s="31">
        <f t="shared" si="1"/>
        <v>0</v>
      </c>
      <c r="C35" s="50"/>
      <c r="D35" s="50"/>
      <c r="E35" s="50"/>
      <c r="F35" s="50"/>
      <c r="G35" s="50"/>
      <c r="H35" s="50"/>
      <c r="I35" s="50"/>
      <c r="J35" s="50"/>
      <c r="K35" s="24" t="str">
        <f>IF($C$11=11,SUM($C$16),"")</f>
        <v/>
      </c>
      <c r="L35" s="24" t="str">
        <f>IF($C$11=L$23,FLOOR(SUM((RATE($C$11,$C$16,0,-$C$15)*L36)+L36),1),"")</f>
        <v/>
      </c>
      <c r="M35" s="24" t="str">
        <f>IF($C$11=M$23,FLOOR(SUM((RATE($C$11,$C$16,0,-$C$15)*M36)+M36),1),"")</f>
        <v/>
      </c>
      <c r="N35" s="8">
        <f t="shared" si="2"/>
        <v>0</v>
      </c>
      <c r="O35" s="35">
        <f t="shared" si="3"/>
        <v>0</v>
      </c>
      <c r="P35" s="32">
        <f t="shared" si="4"/>
        <v>0</v>
      </c>
    </row>
    <row r="36" spans="1:16">
      <c r="A36" s="30" t="str">
        <f>IF($C$11&gt;11,"12th PLACE","")</f>
        <v/>
      </c>
      <c r="B36" s="31">
        <f t="shared" si="1"/>
        <v>0</v>
      </c>
      <c r="C36" s="50"/>
      <c r="D36" s="50"/>
      <c r="E36" s="50"/>
      <c r="F36" s="50"/>
      <c r="G36" s="50"/>
      <c r="H36" s="50"/>
      <c r="I36" s="50"/>
      <c r="J36" s="50"/>
      <c r="K36" s="50"/>
      <c r="L36" s="24" t="str">
        <f>IF($C$11=12,SUM($C$16),"")</f>
        <v/>
      </c>
      <c r="M36" s="24" t="str">
        <f>IF($C$11=M$23,FLOOR(SUM((RATE($C$11,$C$16,0,-$C$15)*M37)+M37),1),"")</f>
        <v/>
      </c>
      <c r="N36" s="8">
        <f t="shared" si="2"/>
        <v>0</v>
      </c>
      <c r="O36" s="35">
        <f t="shared" si="3"/>
        <v>0</v>
      </c>
      <c r="P36" s="32">
        <f t="shared" si="4"/>
        <v>0</v>
      </c>
    </row>
    <row r="37" spans="1:16" ht="18">
      <c r="A37" s="30" t="str">
        <f>IF($C$11&gt;12,"13th PLACE","")</f>
        <v/>
      </c>
      <c r="B37" s="31">
        <f t="shared" si="1"/>
        <v>0</v>
      </c>
      <c r="C37" s="51"/>
      <c r="D37" s="51"/>
      <c r="E37" s="51"/>
      <c r="F37" s="51"/>
      <c r="G37" s="51"/>
      <c r="H37" s="51"/>
      <c r="I37" s="51"/>
      <c r="J37" s="51"/>
      <c r="K37" s="51"/>
      <c r="L37" s="51"/>
      <c r="M37" s="52" t="str">
        <f>IF($C$11=13,SUM($C$16),"")</f>
        <v/>
      </c>
      <c r="N37" s="8">
        <f t="shared" si="2"/>
        <v>0</v>
      </c>
      <c r="O37" s="35">
        <f t="shared" si="3"/>
        <v>0</v>
      </c>
      <c r="P37" s="32">
        <f t="shared" si="4"/>
        <v>0</v>
      </c>
    </row>
    <row r="38" spans="1:16" s="8" customFormat="1">
      <c r="A38" s="8" t="str">
        <f>IF($B$11&gt;11,"12th PLACE","")</f>
        <v/>
      </c>
      <c r="B38" s="13">
        <f>SUM(B25:B37)</f>
        <v>8940</v>
      </c>
      <c r="C38" s="24" t="str">
        <f>IF($C$11=C23,SUM(C25:C37),"")</f>
        <v/>
      </c>
      <c r="D38" s="24" t="str">
        <f t="shared" ref="D38:M38" si="9">IF($C$11=D23,SUM(D25:D37),"")</f>
        <v/>
      </c>
      <c r="E38" s="24" t="str">
        <f t="shared" si="9"/>
        <v/>
      </c>
      <c r="F38" s="24" t="str">
        <f t="shared" si="9"/>
        <v/>
      </c>
      <c r="G38" s="24" t="str">
        <f t="shared" si="9"/>
        <v/>
      </c>
      <c r="H38" s="24" t="str">
        <f t="shared" si="9"/>
        <v/>
      </c>
      <c r="I38" s="24">
        <f t="shared" si="9"/>
        <v>8934</v>
      </c>
      <c r="J38" s="24" t="str">
        <f t="shared" si="9"/>
        <v/>
      </c>
      <c r="K38" s="24" t="str">
        <f t="shared" si="9"/>
        <v/>
      </c>
      <c r="L38" s="24" t="str">
        <f t="shared" si="9"/>
        <v/>
      </c>
      <c r="M38" s="24" t="str">
        <f t="shared" si="9"/>
        <v/>
      </c>
      <c r="O38" s="46">
        <f>SUM(O25:O37)</f>
        <v>9000</v>
      </c>
      <c r="P38" s="34">
        <f>SUM(P25:P37)</f>
        <v>1</v>
      </c>
    </row>
    <row r="39" spans="1:16" s="8" customFormat="1" ht="18">
      <c r="A39" s="8" t="str">
        <f>IF($B$11&gt;12,"13th PLACE","")</f>
        <v/>
      </c>
      <c r="B39" s="17">
        <f>SUM(C15)</f>
        <v>9000</v>
      </c>
      <c r="C39" s="52" t="str">
        <f t="shared" ref="C39:M39" si="10">IF($C$11=C23,SUM($C$15),"")</f>
        <v/>
      </c>
      <c r="D39" s="52" t="str">
        <f t="shared" si="10"/>
        <v/>
      </c>
      <c r="E39" s="52" t="str">
        <f t="shared" si="10"/>
        <v/>
      </c>
      <c r="F39" s="52" t="str">
        <f t="shared" si="10"/>
        <v/>
      </c>
      <c r="G39" s="52" t="str">
        <f t="shared" si="10"/>
        <v/>
      </c>
      <c r="H39" s="52" t="str">
        <f t="shared" si="10"/>
        <v/>
      </c>
      <c r="I39" s="52">
        <f t="shared" si="10"/>
        <v>9000</v>
      </c>
      <c r="J39" s="52" t="str">
        <f t="shared" si="10"/>
        <v/>
      </c>
      <c r="K39" s="52" t="str">
        <f t="shared" si="10"/>
        <v/>
      </c>
      <c r="L39" s="52" t="str">
        <f t="shared" si="10"/>
        <v/>
      </c>
      <c r="M39" s="52" t="str">
        <f t="shared" si="10"/>
        <v/>
      </c>
      <c r="O39" s="46">
        <f>SUM(C15)</f>
        <v>9000</v>
      </c>
    </row>
    <row r="40" spans="1:16" s="11" customFormat="1" ht="18">
      <c r="A40" s="38" t="s">
        <v>74</v>
      </c>
      <c r="B40" s="18">
        <f>SUM(B39-B38)</f>
        <v>60</v>
      </c>
      <c r="C40" s="53" t="str">
        <f>IF($C$11=C23,SUM(C39-C38),"")</f>
        <v/>
      </c>
      <c r="D40" s="53" t="str">
        <f t="shared" ref="D40:M40" si="11">IF($C$11=D23,SUM(D39-D38),"")</f>
        <v/>
      </c>
      <c r="E40" s="53" t="str">
        <f t="shared" si="11"/>
        <v/>
      </c>
      <c r="F40" s="53" t="str">
        <f t="shared" si="11"/>
        <v/>
      </c>
      <c r="G40" s="53" t="str">
        <f t="shared" si="11"/>
        <v/>
      </c>
      <c r="H40" s="53" t="str">
        <f t="shared" si="11"/>
        <v/>
      </c>
      <c r="I40" s="53">
        <f t="shared" si="11"/>
        <v>66</v>
      </c>
      <c r="J40" s="53" t="str">
        <f t="shared" si="11"/>
        <v/>
      </c>
      <c r="K40" s="53" t="str">
        <f t="shared" si="11"/>
        <v/>
      </c>
      <c r="L40" s="53" t="str">
        <f t="shared" si="11"/>
        <v/>
      </c>
      <c r="M40" s="53" t="str">
        <f t="shared" si="11"/>
        <v/>
      </c>
      <c r="O40" s="37">
        <f>SUM(O39-O38)</f>
        <v>0</v>
      </c>
    </row>
    <row r="41" spans="1:16">
      <c r="B41" s="7"/>
      <c r="C41" s="6"/>
    </row>
    <row r="42" spans="1:16">
      <c r="B42" s="7"/>
      <c r="C42" s="6"/>
    </row>
    <row r="43" spans="1:16">
      <c r="B43" s="7"/>
      <c r="C43" s="6"/>
    </row>
    <row r="44" spans="1:16">
      <c r="B44" s="7"/>
      <c r="C44" s="6"/>
    </row>
    <row r="45" spans="1:16">
      <c r="B45" s="7"/>
      <c r="C45" s="6"/>
    </row>
    <row r="47" spans="1:16">
      <c r="B47" s="7"/>
    </row>
  </sheetData>
  <mergeCells count="18">
    <mergeCell ref="D15:P15"/>
    <mergeCell ref="D16:P16"/>
    <mergeCell ref="A17:A18"/>
    <mergeCell ref="B17:B18"/>
    <mergeCell ref="C17:C18"/>
    <mergeCell ref="D17:P18"/>
    <mergeCell ref="D14:P14"/>
    <mergeCell ref="D2:P2"/>
    <mergeCell ref="D3:P3"/>
    <mergeCell ref="D4:P4"/>
    <mergeCell ref="D5:P5"/>
    <mergeCell ref="D6:P6"/>
    <mergeCell ref="D7:P7"/>
    <mergeCell ref="D8:P8"/>
    <mergeCell ref="D9:P9"/>
    <mergeCell ref="D11:P11"/>
    <mergeCell ref="D12:P12"/>
    <mergeCell ref="D13:P13"/>
  </mergeCells>
  <pageMargins left="0.7" right="0.7" top="0.75" bottom="0.75" header="0.3" footer="0.3"/>
  <pageSetup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Sheet1</vt:lpstr>
      <vt:lpstr>As Of March 2011</vt:lpstr>
      <vt:lpstr>As Of July 2011</vt:lpstr>
      <vt:lpstr>As Of November 2011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dc:creator>
  <cp:lastModifiedBy>Joe</cp:lastModifiedBy>
  <cp:lastPrinted>2011-11-01T17:36:40Z</cp:lastPrinted>
  <dcterms:created xsi:type="dcterms:W3CDTF">2009-02-07T01:53:16Z</dcterms:created>
  <dcterms:modified xsi:type="dcterms:W3CDTF">2011-11-05T00:27:33Z</dcterms:modified>
</cp:coreProperties>
</file>